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Fjárlagarit og útgáfa\Fjárlög\2026\1. umræða\Töflur og myndagögn fyrir vefinn\"/>
    </mc:Choice>
  </mc:AlternateContent>
  <xr:revisionPtr revIDLastSave="0" documentId="13_ncr:1_{895B3008-06DC-4882-B2B1-7EA42F8FE3E4}" xr6:coauthVersionLast="45" xr6:coauthVersionMax="45" xr10:uidLastSave="{00000000-0000-0000-0000-000000000000}"/>
  <bookViews>
    <workbookView xWindow="21890" yWindow="1140" windowWidth="19180" windowHeight="11260" firstSheet="7" activeTab="29" xr2:uid="{3F5D1236-EB9B-4FDA-9BCC-37669394D161}"/>
  </bookViews>
  <sheets>
    <sheet name="Töfluyfirlt" sheetId="1" r:id="rId1"/>
    <sheet name="2-1" sheetId="2" r:id="rId2"/>
    <sheet name="3-1" sheetId="3" r:id="rId3"/>
    <sheet name="3-2" sheetId="33" r:id="rId4"/>
    <sheet name="3-3" sheetId="4" r:id="rId5"/>
    <sheet name="3-4" sheetId="5" r:id="rId6"/>
    <sheet name="4-1" sheetId="15" r:id="rId7"/>
    <sheet name="4-2" sheetId="7" r:id="rId8"/>
    <sheet name="4-3" sheetId="16" r:id="rId9"/>
    <sheet name="4-4" sheetId="8" r:id="rId10"/>
    <sheet name="5-1" sheetId="17" r:id="rId11"/>
    <sheet name="5-2" sheetId="14" r:id="rId12"/>
    <sheet name="5-3" sheetId="22" r:id="rId13"/>
    <sheet name="5-4" sheetId="18" r:id="rId14"/>
    <sheet name="5-5" sheetId="9" r:id="rId15"/>
    <sheet name="5-6" sheetId="19" r:id="rId16"/>
    <sheet name="5-7" sheetId="20" r:id="rId17"/>
    <sheet name="6-1" sheetId="23" r:id="rId18"/>
    <sheet name="6-2" sheetId="24" r:id="rId19"/>
    <sheet name="6-3" sheetId="25" r:id="rId20"/>
    <sheet name="6-4" sheetId="26" r:id="rId21"/>
    <sheet name="6-5" sheetId="31" r:id="rId22"/>
    <sheet name="6-6" sheetId="32" r:id="rId23"/>
    <sheet name="7-1" sheetId="27" r:id="rId24"/>
    <sheet name="7-2" sheetId="28" r:id="rId25"/>
    <sheet name="8-1" sheetId="29" r:id="rId26"/>
    <sheet name="8-2" sheetId="30" r:id="rId27"/>
    <sheet name="9-1" sheetId="10" r:id="rId28"/>
    <sheet name="9-2" sheetId="11" r:id="rId29"/>
    <sheet name="9-3" sheetId="12" r:id="rId30"/>
  </sheets>
  <externalReferences>
    <externalReference r:id="rId31"/>
    <externalReference r:id="rId32"/>
    <externalReference r:id="rId33"/>
    <externalReference r:id="rId34"/>
    <externalReference r:id="rId3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2" l="1"/>
  <c r="C10" i="12"/>
  <c r="B10" i="12"/>
  <c r="B35" i="10" l="1"/>
  <c r="D34" i="10"/>
  <c r="C34" i="10"/>
  <c r="D33" i="10"/>
  <c r="C33" i="10"/>
  <c r="B33" i="10"/>
  <c r="B34" i="10" s="1"/>
  <c r="C32" i="10"/>
  <c r="B32" i="10"/>
  <c r="D31" i="10"/>
  <c r="D35" i="10" s="1"/>
  <c r="C31" i="10"/>
  <c r="C35" i="10" s="1"/>
  <c r="B31" i="10"/>
  <c r="B30" i="10"/>
  <c r="D27" i="10"/>
  <c r="C27" i="10"/>
  <c r="D26" i="10"/>
  <c r="C26" i="10"/>
  <c r="B26" i="10"/>
  <c r="A26" i="10"/>
  <c r="D25" i="10"/>
  <c r="C25" i="10"/>
  <c r="B25" i="10"/>
  <c r="A25" i="10"/>
  <c r="D24" i="10"/>
  <c r="C24" i="10"/>
  <c r="B24" i="10"/>
  <c r="A24" i="10"/>
  <c r="D23" i="10"/>
  <c r="C23" i="10"/>
  <c r="B23" i="10"/>
  <c r="A23" i="10"/>
  <c r="D22" i="10"/>
  <c r="C22" i="10"/>
  <c r="B22" i="10"/>
  <c r="A22" i="10"/>
  <c r="D21" i="10"/>
  <c r="C21" i="10"/>
  <c r="B21" i="10"/>
  <c r="A21" i="10"/>
  <c r="D20" i="10"/>
  <c r="C20" i="10"/>
  <c r="B20" i="10"/>
  <c r="A20" i="10"/>
  <c r="D19" i="10"/>
  <c r="C19" i="10"/>
  <c r="B19" i="10"/>
  <c r="B27" i="10" s="1"/>
  <c r="A19" i="10"/>
  <c r="D16" i="10"/>
  <c r="C16" i="10"/>
  <c r="B16" i="10"/>
  <c r="D15" i="10"/>
  <c r="C15" i="10"/>
  <c r="B15" i="10"/>
  <c r="D14" i="10"/>
  <c r="C14" i="10"/>
  <c r="B14" i="10"/>
  <c r="D13" i="10"/>
  <c r="D12" i="10" s="1"/>
  <c r="C13" i="10"/>
  <c r="C12" i="10" s="1"/>
  <c r="B13" i="10"/>
  <c r="B12" i="10" s="1"/>
  <c r="D11" i="10"/>
  <c r="C11" i="10"/>
  <c r="B11" i="10"/>
  <c r="D10" i="10"/>
  <c r="C10" i="10"/>
  <c r="B10" i="10"/>
  <c r="D9" i="10"/>
  <c r="C9" i="10"/>
  <c r="B9" i="10"/>
  <c r="D8" i="10"/>
  <c r="C8" i="10"/>
  <c r="B8" i="10"/>
  <c r="B6" i="10" s="1"/>
  <c r="B17" i="10" s="1"/>
  <c r="B28" i="10" s="1"/>
  <c r="B36" i="10" s="1"/>
  <c r="D7" i="10"/>
  <c r="D6" i="10" s="1"/>
  <c r="C7" i="10"/>
  <c r="C6" i="10" s="1"/>
  <c r="C17" i="10" s="1"/>
  <c r="C28" i="10" s="1"/>
  <c r="C36" i="10" s="1"/>
  <c r="B7" i="10"/>
  <c r="D17" i="10" l="1"/>
  <c r="D28" i="10" s="1"/>
  <c r="D36" i="10" s="1"/>
  <c r="D32" i="10"/>
  <c r="C30" i="30" l="1"/>
  <c r="D30" i="30" s="1"/>
  <c r="B30" i="30"/>
  <c r="D29" i="30"/>
  <c r="D28" i="30"/>
  <c r="D27" i="30"/>
  <c r="D26" i="30"/>
  <c r="D25" i="30"/>
  <c r="C24" i="30"/>
  <c r="D24" i="30" s="1"/>
  <c r="B24" i="30"/>
  <c r="D23" i="30"/>
  <c r="D22" i="30"/>
  <c r="D21" i="30"/>
  <c r="D20" i="30"/>
  <c r="D19" i="30"/>
  <c r="D17" i="30"/>
  <c r="D16" i="30"/>
  <c r="D14" i="30"/>
  <c r="D12" i="30"/>
  <c r="D11" i="30"/>
  <c r="D10" i="30"/>
  <c r="C9" i="30"/>
  <c r="C13" i="30" s="1"/>
  <c r="B9" i="30"/>
  <c r="B13" i="30" s="1"/>
  <c r="B15" i="30" s="1"/>
  <c r="B18" i="30" s="1"/>
  <c r="B31" i="30" s="1"/>
  <c r="B33" i="30" s="1"/>
  <c r="C32" i="30" s="1"/>
  <c r="D32" i="30" s="1"/>
  <c r="D8" i="30"/>
  <c r="D7" i="30"/>
  <c r="D6" i="30"/>
  <c r="D5" i="30"/>
  <c r="D13" i="30" l="1"/>
  <c r="C15" i="30"/>
  <c r="D9" i="30"/>
  <c r="D15" i="30" l="1"/>
  <c r="C18" i="30"/>
  <c r="C31" i="30" l="1"/>
  <c r="D18" i="30"/>
  <c r="D31" i="30" l="1"/>
  <c r="C33" i="30"/>
  <c r="D33" i="30" s="1"/>
  <c r="E8" i="29" l="1"/>
  <c r="D8" i="29"/>
  <c r="C8" i="29"/>
  <c r="B8" i="29"/>
  <c r="F41" i="28" l="1"/>
  <c r="E41" i="28"/>
  <c r="D41" i="28"/>
  <c r="C41" i="28"/>
  <c r="F40" i="28"/>
  <c r="E40" i="28"/>
  <c r="D40" i="28"/>
  <c r="C40" i="28"/>
  <c r="F39" i="28"/>
  <c r="E39" i="28"/>
  <c r="D39" i="28"/>
  <c r="C39" i="28"/>
  <c r="F38" i="28"/>
  <c r="E38" i="28"/>
  <c r="D38" i="28"/>
  <c r="C38" i="28"/>
  <c r="F37" i="28"/>
  <c r="E37" i="28"/>
  <c r="D37" i="28"/>
  <c r="C37" i="28"/>
  <c r="F36" i="28"/>
  <c r="E36" i="28"/>
  <c r="D36" i="28"/>
  <c r="C36" i="28"/>
  <c r="F35" i="28"/>
  <c r="E35" i="28"/>
  <c r="D35" i="28"/>
  <c r="C35" i="28"/>
  <c r="F34" i="28"/>
  <c r="E34" i="28"/>
  <c r="D34" i="28"/>
  <c r="C34" i="28"/>
  <c r="F33" i="28"/>
  <c r="E33" i="28"/>
  <c r="D33" i="28"/>
  <c r="C33" i="28"/>
  <c r="F32" i="28"/>
  <c r="E32" i="28"/>
  <c r="D32" i="28"/>
  <c r="C32" i="28"/>
  <c r="F31" i="28"/>
  <c r="E31" i="28"/>
  <c r="D31" i="28"/>
  <c r="C31" i="28"/>
  <c r="F30" i="28"/>
  <c r="E30" i="28"/>
  <c r="D30" i="28"/>
  <c r="C30" i="28"/>
  <c r="F29" i="28"/>
  <c r="E29" i="28"/>
  <c r="D29" i="28"/>
  <c r="C29" i="28"/>
  <c r="F28" i="28"/>
  <c r="E28" i="28"/>
  <c r="D28" i="28"/>
  <c r="C28" i="28"/>
  <c r="F27" i="28"/>
  <c r="E27" i="28"/>
  <c r="D27" i="28"/>
  <c r="C27" i="28"/>
  <c r="F26" i="28"/>
  <c r="E26" i="28"/>
  <c r="D26" i="28"/>
  <c r="C26" i="28"/>
  <c r="F25" i="28"/>
  <c r="E25" i="28"/>
  <c r="D25" i="28"/>
  <c r="C25" i="28"/>
  <c r="F24" i="28"/>
  <c r="E24" i="28"/>
  <c r="D24" i="28"/>
  <c r="C24" i="28"/>
  <c r="F23" i="28"/>
  <c r="E23" i="28"/>
  <c r="D23" i="28"/>
  <c r="C23" i="28"/>
  <c r="F22" i="28"/>
  <c r="E22" i="28"/>
  <c r="D22" i="28"/>
  <c r="C22" i="28"/>
  <c r="F21" i="28"/>
  <c r="E21" i="28"/>
  <c r="D21" i="28"/>
  <c r="C21" i="28"/>
  <c r="F20" i="28"/>
  <c r="E20" i="28"/>
  <c r="D20" i="28"/>
  <c r="C20" i="28"/>
  <c r="F19" i="28"/>
  <c r="E19" i="28"/>
  <c r="D19" i="28"/>
  <c r="C19" i="28"/>
  <c r="F18" i="28"/>
  <c r="E18" i="28"/>
  <c r="D18" i="28"/>
  <c r="C18" i="28"/>
  <c r="F17" i="28"/>
  <c r="E17" i="28"/>
  <c r="D17" i="28"/>
  <c r="C17" i="28"/>
  <c r="F16" i="28"/>
  <c r="E16" i="28"/>
  <c r="D16" i="28"/>
  <c r="C16" i="28"/>
  <c r="F15" i="28"/>
  <c r="E15" i="28"/>
  <c r="D15" i="28"/>
  <c r="C15" i="28"/>
  <c r="F14" i="28"/>
  <c r="E14" i="28"/>
  <c r="D14" i="28"/>
  <c r="C14" i="28"/>
  <c r="F13" i="28"/>
  <c r="E13" i="28"/>
  <c r="D13" i="28"/>
  <c r="C13" i="28"/>
  <c r="F12" i="28"/>
  <c r="E12" i="28"/>
  <c r="D12" i="28"/>
  <c r="C12" i="28"/>
  <c r="F11" i="28"/>
  <c r="E11" i="28"/>
  <c r="D11" i="28"/>
  <c r="C11" i="28"/>
  <c r="F10" i="28"/>
  <c r="E10" i="28"/>
  <c r="D10" i="28"/>
  <c r="C10" i="28"/>
  <c r="F9" i="28"/>
  <c r="E9" i="28"/>
  <c r="D9" i="28"/>
  <c r="C9" i="28"/>
  <c r="F8" i="28"/>
  <c r="E8" i="28"/>
  <c r="D8" i="28"/>
  <c r="C8" i="28"/>
  <c r="F7" i="28"/>
  <c r="E7" i="28"/>
  <c r="D7" i="28"/>
  <c r="C7" i="28"/>
  <c r="F6" i="28"/>
  <c r="E6" i="28"/>
  <c r="D6" i="28"/>
  <c r="C6" i="28"/>
  <c r="F5" i="28"/>
  <c r="E5" i="28"/>
  <c r="D5" i="28"/>
  <c r="C5" i="28"/>
  <c r="F4" i="28"/>
  <c r="E4" i="28"/>
  <c r="D4" i="28"/>
  <c r="C4" i="28"/>
  <c r="F2" i="28"/>
  <c r="E2" i="28"/>
  <c r="D2" i="28"/>
  <c r="C2" i="28"/>
  <c r="F14" i="27" l="1"/>
  <c r="E14" i="27"/>
  <c r="D14" i="27"/>
  <c r="C14" i="27"/>
  <c r="B14" i="27"/>
  <c r="F13" i="27"/>
  <c r="E13" i="27"/>
  <c r="D13" i="27"/>
  <c r="C13" i="27"/>
  <c r="B13" i="27"/>
  <c r="F12" i="27"/>
  <c r="E12" i="27"/>
  <c r="D12" i="27"/>
  <c r="C12" i="27"/>
  <c r="B12" i="27"/>
  <c r="F11" i="27"/>
  <c r="E11" i="27"/>
  <c r="D11" i="27"/>
  <c r="C11" i="27"/>
  <c r="B11" i="27"/>
  <c r="F10" i="27"/>
  <c r="E10" i="27"/>
  <c r="D10" i="27"/>
  <c r="C10" i="27"/>
  <c r="B10" i="27"/>
  <c r="F9" i="27"/>
  <c r="E9" i="27"/>
  <c r="D9" i="27"/>
  <c r="C9" i="27"/>
  <c r="B9" i="27"/>
  <c r="F8" i="27"/>
  <c r="E8" i="27"/>
  <c r="D8" i="27"/>
  <c r="C8" i="27"/>
  <c r="B8" i="27"/>
  <c r="F7" i="27"/>
  <c r="E7" i="27"/>
  <c r="D7" i="27"/>
  <c r="C7" i="27"/>
  <c r="B7" i="27"/>
  <c r="F6" i="27"/>
  <c r="E6" i="27"/>
  <c r="D6" i="27"/>
  <c r="C6" i="27"/>
  <c r="B6" i="27"/>
  <c r="F5" i="27"/>
  <c r="E5" i="27"/>
  <c r="D5" i="27"/>
  <c r="C5" i="27"/>
  <c r="B5" i="27"/>
  <c r="F4" i="27"/>
  <c r="E4" i="27"/>
  <c r="D4" i="27"/>
  <c r="C4" i="27"/>
  <c r="B4" i="27"/>
  <c r="F3" i="27"/>
  <c r="E3" i="27"/>
  <c r="D3" i="27"/>
  <c r="C3" i="27"/>
  <c r="B3" i="27"/>
  <c r="D30" i="32" l="1"/>
  <c r="C30" i="32"/>
  <c r="B30" i="32"/>
  <c r="D29" i="32"/>
  <c r="D28" i="32"/>
  <c r="D27" i="32"/>
  <c r="D26" i="32"/>
  <c r="D25" i="32"/>
  <c r="D24" i="32"/>
  <c r="C24" i="32"/>
  <c r="B24" i="32"/>
  <c r="D23" i="32"/>
  <c r="D22" i="32"/>
  <c r="D21" i="32"/>
  <c r="D20" i="32"/>
  <c r="D19" i="32"/>
  <c r="D17" i="32"/>
  <c r="D16" i="32"/>
  <c r="D12" i="32"/>
  <c r="D11" i="32"/>
  <c r="D10" i="32"/>
  <c r="C9" i="32"/>
  <c r="C13" i="32" s="1"/>
  <c r="B9" i="32"/>
  <c r="B13" i="32" s="1"/>
  <c r="B15" i="32" s="1"/>
  <c r="B18" i="32" s="1"/>
  <c r="B31" i="32" s="1"/>
  <c r="B33" i="32" s="1"/>
  <c r="C32" i="32" s="1"/>
  <c r="D32" i="32" s="1"/>
  <c r="D8" i="32"/>
  <c r="D7" i="32"/>
  <c r="D6" i="32"/>
  <c r="D5" i="32"/>
  <c r="C15" i="32" l="1"/>
  <c r="D13" i="32"/>
  <c r="D9" i="32"/>
  <c r="C18" i="32" l="1"/>
  <c r="D15" i="32"/>
  <c r="D18" i="32" l="1"/>
  <c r="C31" i="32"/>
  <c r="C33" i="32" l="1"/>
  <c r="D33" i="32" s="1"/>
  <c r="D31" i="32"/>
  <c r="H14" i="31"/>
  <c r="G14" i="31"/>
  <c r="F14" i="31"/>
  <c r="E14" i="31"/>
  <c r="D14" i="31"/>
  <c r="C14" i="31"/>
  <c r="D30" i="26" l="1"/>
  <c r="D29" i="26"/>
  <c r="D28" i="26"/>
  <c r="D27" i="26"/>
  <c r="D26" i="26"/>
  <c r="D25" i="26"/>
  <c r="D24" i="26"/>
  <c r="D23" i="26"/>
  <c r="D22" i="26"/>
  <c r="D21" i="26"/>
  <c r="D20" i="26"/>
  <c r="D19" i="26"/>
  <c r="D18" i="26"/>
  <c r="D17" i="26"/>
  <c r="D16" i="26"/>
  <c r="D15" i="26"/>
  <c r="D14" i="26"/>
  <c r="D12" i="26"/>
  <c r="D11" i="26"/>
  <c r="D10" i="26"/>
  <c r="D9" i="26"/>
  <c r="D8" i="26"/>
  <c r="D7" i="26"/>
  <c r="D6" i="26"/>
  <c r="D5" i="26"/>
  <c r="D10" i="25" l="1"/>
  <c r="C10" i="25"/>
  <c r="B10" i="25"/>
  <c r="H10" i="24" l="1"/>
  <c r="G10" i="24"/>
  <c r="F10" i="24"/>
  <c r="E10" i="24"/>
  <c r="D10" i="24"/>
  <c r="C10" i="24"/>
  <c r="D47" i="20" l="1"/>
  <c r="D48" i="20" s="1"/>
  <c r="G46" i="20"/>
  <c r="F46" i="20"/>
  <c r="E46" i="20"/>
  <c r="E47" i="20" s="1"/>
  <c r="E48" i="20" s="1"/>
  <c r="D46" i="20"/>
  <c r="C46" i="20"/>
  <c r="G22" i="20"/>
  <c r="G47" i="20" s="1"/>
  <c r="F22" i="20"/>
  <c r="F47" i="20" s="1"/>
  <c r="E22" i="20"/>
  <c r="D22" i="20"/>
  <c r="C22" i="20"/>
  <c r="C47" i="20" s="1"/>
  <c r="E2" i="20"/>
  <c r="F2" i="20" s="1"/>
  <c r="G2" i="20" s="1"/>
  <c r="E45" i="9" l="1"/>
  <c r="D45" i="9"/>
  <c r="E44" i="9"/>
  <c r="D44" i="9"/>
  <c r="C43" i="9"/>
  <c r="E42" i="9"/>
  <c r="D42" i="9"/>
  <c r="C41" i="9"/>
  <c r="E41" i="9" s="1"/>
  <c r="E40" i="9"/>
  <c r="D40" i="9"/>
  <c r="C38" i="9"/>
  <c r="E38" i="9" s="1"/>
  <c r="B38" i="9"/>
  <c r="B43" i="9" s="1"/>
  <c r="E37" i="9"/>
  <c r="D37" i="9"/>
  <c r="E36" i="9"/>
  <c r="D36" i="9"/>
  <c r="E34" i="9"/>
  <c r="D34" i="9"/>
  <c r="E33" i="9"/>
  <c r="D33" i="9"/>
  <c r="E32" i="9"/>
  <c r="D32" i="9"/>
  <c r="E31" i="9"/>
  <c r="D31" i="9"/>
  <c r="E30" i="9"/>
  <c r="D30" i="9"/>
  <c r="E29" i="9"/>
  <c r="D29" i="9"/>
  <c r="E28" i="9"/>
  <c r="D28" i="9"/>
  <c r="E27" i="9"/>
  <c r="D27" i="9"/>
  <c r="E26" i="9"/>
  <c r="D26" i="9"/>
  <c r="E25" i="9"/>
  <c r="D25" i="9"/>
  <c r="E24" i="9"/>
  <c r="D24" i="9"/>
  <c r="E23" i="9"/>
  <c r="D23" i="9"/>
  <c r="E22" i="9"/>
  <c r="D22" i="9"/>
  <c r="E21" i="9"/>
  <c r="D21" i="9"/>
  <c r="E20" i="9"/>
  <c r="D20" i="9"/>
  <c r="E19" i="9"/>
  <c r="D19" i="9"/>
  <c r="E18" i="9"/>
  <c r="D18" i="9"/>
  <c r="E17" i="9"/>
  <c r="D17" i="9"/>
  <c r="E16" i="9"/>
  <c r="D16" i="9"/>
  <c r="E15" i="9"/>
  <c r="D15" i="9"/>
  <c r="E14" i="9"/>
  <c r="D14" i="9"/>
  <c r="E13" i="9"/>
  <c r="D13" i="9"/>
  <c r="E12" i="9"/>
  <c r="D12" i="9"/>
  <c r="E11" i="9"/>
  <c r="D11" i="9"/>
  <c r="E10" i="9"/>
  <c r="D10" i="9"/>
  <c r="E9" i="9"/>
  <c r="D9" i="9"/>
  <c r="E8" i="9"/>
  <c r="D8" i="9"/>
  <c r="E7" i="9"/>
  <c r="D7" i="9"/>
  <c r="E6" i="9"/>
  <c r="D6" i="9"/>
  <c r="E5" i="9"/>
  <c r="D5" i="9"/>
  <c r="E4" i="9"/>
  <c r="D4" i="9"/>
  <c r="E3" i="9"/>
  <c r="D3" i="9"/>
  <c r="D38" i="9" s="1"/>
  <c r="D43" i="9" l="1"/>
  <c r="D46" i="9" s="1"/>
  <c r="E43" i="9"/>
  <c r="B46" i="9"/>
  <c r="E46" i="9" s="1"/>
  <c r="D41" i="9"/>
  <c r="D45" i="18" l="1"/>
  <c r="E45" i="18" s="1"/>
  <c r="D44" i="18"/>
  <c r="E44" i="18" s="1"/>
  <c r="D43" i="18"/>
  <c r="E43" i="18" s="1"/>
  <c r="D42" i="18"/>
  <c r="E42" i="18" s="1"/>
  <c r="C42" i="18"/>
  <c r="C40" i="18" s="1"/>
  <c r="D40" i="18" s="1"/>
  <c r="E40" i="18" s="1"/>
  <c r="B42" i="18"/>
  <c r="D39" i="18"/>
  <c r="E39" i="18" s="1"/>
  <c r="C37" i="18"/>
  <c r="B37" i="18"/>
  <c r="B40" i="18" s="1"/>
  <c r="D36" i="18"/>
  <c r="E36" i="18" s="1"/>
  <c r="D35" i="18"/>
  <c r="E35" i="18" s="1"/>
  <c r="D34" i="18"/>
  <c r="E34" i="18" s="1"/>
  <c r="D33" i="18"/>
  <c r="E33" i="18" s="1"/>
  <c r="D32" i="18"/>
  <c r="E32" i="18" s="1"/>
  <c r="D31" i="18"/>
  <c r="E31" i="18" s="1"/>
  <c r="D30" i="18"/>
  <c r="E30" i="18" s="1"/>
  <c r="D29" i="18"/>
  <c r="E29" i="18" s="1"/>
  <c r="D28" i="18"/>
  <c r="E28" i="18" s="1"/>
  <c r="D27" i="18"/>
  <c r="E27" i="18" s="1"/>
  <c r="D26" i="18"/>
  <c r="E26" i="18" s="1"/>
  <c r="D25" i="18"/>
  <c r="E25" i="18" s="1"/>
  <c r="D24" i="18"/>
  <c r="E24" i="18" s="1"/>
  <c r="D23" i="18"/>
  <c r="E23" i="18" s="1"/>
  <c r="D22" i="18"/>
  <c r="E22" i="18" s="1"/>
  <c r="D21" i="18"/>
  <c r="E21" i="18" s="1"/>
  <c r="D20" i="18"/>
  <c r="E20" i="18" s="1"/>
  <c r="D19" i="18"/>
  <c r="E19" i="18" s="1"/>
  <c r="D18" i="18"/>
  <c r="E18" i="18" s="1"/>
  <c r="D17" i="18"/>
  <c r="E17" i="18" s="1"/>
  <c r="D16" i="18"/>
  <c r="E16" i="18" s="1"/>
  <c r="D15" i="18"/>
  <c r="E15" i="18" s="1"/>
  <c r="D14" i="18"/>
  <c r="E14" i="18" s="1"/>
  <c r="D13" i="18"/>
  <c r="E13" i="18" s="1"/>
  <c r="D12" i="18"/>
  <c r="E12" i="18" s="1"/>
  <c r="D11" i="18"/>
  <c r="E11" i="18" s="1"/>
  <c r="D10" i="18"/>
  <c r="E10" i="18" s="1"/>
  <c r="D9" i="18"/>
  <c r="E9" i="18" s="1"/>
  <c r="D8" i="18"/>
  <c r="E8" i="18" s="1"/>
  <c r="D7" i="18"/>
  <c r="E7" i="18" s="1"/>
  <c r="D6" i="18"/>
  <c r="E6" i="18" s="1"/>
  <c r="D5" i="18"/>
  <c r="E5" i="18" s="1"/>
  <c r="D4" i="18"/>
  <c r="E4" i="18" s="1"/>
  <c r="D3" i="18"/>
  <c r="D37" i="18" s="1"/>
  <c r="E37" i="18" s="1"/>
  <c r="E3" i="18" l="1"/>
  <c r="C13" i="22" l="1"/>
  <c r="B13" i="22"/>
  <c r="D12" i="22"/>
  <c r="D11" i="22"/>
  <c r="D10" i="22"/>
  <c r="D9" i="22"/>
  <c r="D8" i="22"/>
  <c r="D7" i="22"/>
  <c r="D6" i="22"/>
  <c r="D5" i="22"/>
  <c r="D4" i="22"/>
  <c r="D3" i="22"/>
  <c r="D13" i="22" s="1"/>
  <c r="B14" i="7" l="1"/>
  <c r="B15" i="7" s="1"/>
  <c r="B6" i="7"/>
  <c r="C18" i="33" l="1"/>
  <c r="C17" i="33"/>
  <c r="C16" i="33"/>
  <c r="C15" i="33"/>
  <c r="C14" i="33"/>
  <c r="C13" i="33"/>
  <c r="B13" i="33"/>
  <c r="C12" i="33"/>
  <c r="B12" i="33"/>
  <c r="C11" i="33"/>
  <c r="B11" i="33"/>
  <c r="C10" i="33"/>
  <c r="B10" i="33"/>
  <c r="C9" i="33"/>
  <c r="B9" i="33"/>
  <c r="C8" i="33"/>
  <c r="B8" i="33"/>
  <c r="C7" i="33"/>
  <c r="B7" i="33"/>
  <c r="C6" i="33"/>
  <c r="B6" i="33"/>
  <c r="C4" i="33"/>
  <c r="B4" i="33"/>
</calcChain>
</file>

<file path=xl/sharedStrings.xml><?xml version="1.0" encoding="utf-8"?>
<sst xmlns="http://schemas.openxmlformats.org/spreadsheetml/2006/main" count="831" uniqueCount="470">
  <si>
    <t>ma.kr.</t>
  </si>
  <si>
    <t>% af VLF</t>
  </si>
  <si>
    <t>Þjóðhagsgrunnur</t>
  </si>
  <si>
    <t>br.</t>
  </si>
  <si>
    <t>Frumtekjur</t>
  </si>
  <si>
    <t>Frumgjöld</t>
  </si>
  <si>
    <t>Frumjöfnuður</t>
  </si>
  <si>
    <t>Vaxtatekjur</t>
  </si>
  <si>
    <t>Vaxtagjöld</t>
  </si>
  <si>
    <t>Vaxtajöfnuður</t>
  </si>
  <si>
    <t>Heildartekjur</t>
  </si>
  <si>
    <t>Heildargjöld</t>
  </si>
  <si>
    <t>Heildarjöfnuður</t>
  </si>
  <si>
    <t>Skatttekjur</t>
  </si>
  <si>
    <t>Skattar á tekjur og hagnað</t>
  </si>
  <si>
    <t>Skattar á laungreiðslur og vinnuafl</t>
  </si>
  <si>
    <t>Eignarskattar</t>
  </si>
  <si>
    <t>Skattar á vöru og þjónustu</t>
  </si>
  <si>
    <t>Skattar á alþjóðaverslun og viðskipti</t>
  </si>
  <si>
    <t>Aðrir skattar</t>
  </si>
  <si>
    <t>Tryggingagjöld</t>
  </si>
  <si>
    <t>Fjárframlög</t>
  </si>
  <si>
    <t>Aðrar tekjur</t>
  </si>
  <si>
    <t>Eignatekjur</t>
  </si>
  <si>
    <t>þ.a. vaxtatekjur</t>
  </si>
  <si>
    <t>þ.a. arðgreiðslur</t>
  </si>
  <si>
    <t>Sala á vöru og þjónustu</t>
  </si>
  <si>
    <t>Ýmsar tekjur og óskilgreindar tekjur</t>
  </si>
  <si>
    <t>Rekstrarútgjöld</t>
  </si>
  <si>
    <t>Laun</t>
  </si>
  <si>
    <t>Kaup á vöru og þjónustu</t>
  </si>
  <si>
    <t>Afskriftir</t>
  </si>
  <si>
    <t>Framleiðslustyrkir</t>
  </si>
  <si>
    <t>Félagslegar tilfærslur til heimila</t>
  </si>
  <si>
    <t>Tilfærsluútgjöld önnur en fjárframlög</t>
  </si>
  <si>
    <t>Fastafjárútgjöld</t>
  </si>
  <si>
    <t>Fjárfesting í efnislegum eignum</t>
  </si>
  <si>
    <t>Afskriftir (-)</t>
  </si>
  <si>
    <t>Áætlun</t>
  </si>
  <si>
    <t>Rekstrargrunnur, m.kr.</t>
  </si>
  <si>
    <t>Skattar á launagr. og vinnuafl</t>
  </si>
  <si>
    <t xml:space="preserve">Eignarskattar </t>
  </si>
  <si>
    <t xml:space="preserve">Skattar á vöru og þjónustu </t>
  </si>
  <si>
    <t xml:space="preserve">Tollar og aðflutningsgjöld </t>
  </si>
  <si>
    <t>Arður og hluti af tekjum ríkisft.</t>
  </si>
  <si>
    <t>Aðrar eignatekjur</t>
  </si>
  <si>
    <t>Ýmsar tekjur</t>
  </si>
  <si>
    <t>Heildartekjur ríkissjóðs</t>
  </si>
  <si>
    <t>Arður og hluti af tekjum B-hluta fyrirtækja (m.kr.)</t>
  </si>
  <si>
    <t>Arður</t>
  </si>
  <si>
    <t>Íslandsbanki hf.</t>
  </si>
  <si>
    <t>Landsbankinn hf.</t>
  </si>
  <si>
    <t>Landsvirkjun</t>
  </si>
  <si>
    <t>Landsnet</t>
  </si>
  <si>
    <t>Aðrir</t>
  </si>
  <si>
    <t>Arður alls</t>
  </si>
  <si>
    <t>Hluti af tekjum B-hluta fyrirtækja</t>
  </si>
  <si>
    <t>ÁTVR</t>
  </si>
  <si>
    <t>Framlag frá Húsnæðissjóði</t>
  </si>
  <si>
    <t>Hluti af tekjum B-hluta fyrirtækja alls</t>
  </si>
  <si>
    <t>Arður og hluti af tekjum B-hluta fyrirtækja alls</t>
  </si>
  <si>
    <t>Hagræn skipting útgjalda</t>
  </si>
  <si>
    <t xml:space="preserve">Breyting
m.kr. </t>
  </si>
  <si>
    <t>Breyting
%</t>
  </si>
  <si>
    <t>Rekstrarframlög</t>
  </si>
  <si>
    <t>Rekstrartilfærslur</t>
  </si>
  <si>
    <t>Fjármagnstilfærslur</t>
  </si>
  <si>
    <t>Fjárfestingarframlag</t>
  </si>
  <si>
    <t>Rammasett útgjöld</t>
  </si>
  <si>
    <t>Aðrir liðir utan ramma²</t>
  </si>
  <si>
    <t xml:space="preserve">Rekstrartekjur </t>
  </si>
  <si>
    <t>Framlag úr ríkissjóði</t>
  </si>
  <si>
    <t>Viðskiptahreyfingar</t>
  </si>
  <si>
    <t>Samtals fjármögnun</t>
  </si>
  <si>
    <r>
      <rPr>
        <vertAlign val="superscript"/>
        <sz val="8"/>
        <rFont val="FiraGO Light"/>
        <family val="2"/>
      </rPr>
      <t>1</t>
    </r>
    <r>
      <rPr>
        <sz val="8"/>
        <rFont val="FiraGO Light"/>
        <family val="2"/>
      </rPr>
      <t xml:space="preserve"> Án verðlagshækkana</t>
    </r>
  </si>
  <si>
    <t>Launabreytingar</t>
  </si>
  <si>
    <t>Endurmat á launaforsendum fjárlaga fyrri ára</t>
  </si>
  <si>
    <t>Almennar verðlagsbreytingar</t>
  </si>
  <si>
    <t>Gengisbreytingar</t>
  </si>
  <si>
    <t>Hækkun atvinnuleysisbóta og bóta almannatrygginga</t>
  </si>
  <si>
    <t>Samtals</t>
  </si>
  <si>
    <t>Sjóðstreymi A-hluta ríkissjóðs</t>
  </si>
  <si>
    <t>Sjóðstreymi ríkissjóðs (A1-hluta), m.kr.</t>
  </si>
  <si>
    <t>Handbært fé frá rekstri</t>
  </si>
  <si>
    <t>Fjárfesting</t>
  </si>
  <si>
    <t>Veitt löng lán</t>
  </si>
  <si>
    <t>Fjárfestingarhreyfingar samtals</t>
  </si>
  <si>
    <t>Hreinn lánsfjárjöfnuður</t>
  </si>
  <si>
    <t>Fjármögnunarhreyfingar</t>
  </si>
  <si>
    <t>Tekin langtímalán</t>
  </si>
  <si>
    <t>Þar af innlend</t>
  </si>
  <si>
    <t>Afborganir af teknum lánum</t>
  </si>
  <si>
    <t>Þar af innlendar</t>
  </si>
  <si>
    <t>Fjármögnunarhreyfingar samtals</t>
  </si>
  <si>
    <t>Breyting á handbæru fé</t>
  </si>
  <si>
    <t>Skuldir ríkissjóðs</t>
  </si>
  <si>
    <t>Stöðutölur í m.kr. á verðlagi í lok hvers árs</t>
  </si>
  <si>
    <t>Ríkisbréf, ríkisvíxlar og spariskírteini</t>
  </si>
  <si>
    <t>Aðrir innlendir aðilar</t>
  </si>
  <si>
    <t>Erlend lán</t>
  </si>
  <si>
    <t>Áfallnir ógjaldfallnir vextir</t>
  </si>
  <si>
    <t>Kröfur ríkissjóðs</t>
  </si>
  <si>
    <t>Veitt lán</t>
  </si>
  <si>
    <t>Viðskiptareikningur, nettó</t>
  </si>
  <si>
    <t>Hreinar lántökur ríkissjóðs</t>
  </si>
  <si>
    <t>Handbært fé vegna gjaldeyrisvaraforða</t>
  </si>
  <si>
    <t>Handbært fé, annað, nettó</t>
  </si>
  <si>
    <t>Hrein staða ríkissjóðs</t>
  </si>
  <si>
    <t>Hlutafé, eignarhlutir, stofnfé og stöðugleikaframlög</t>
  </si>
  <si>
    <t>Hrein staða ríkissjóðs að teknu tilliti til eigna</t>
  </si>
  <si>
    <t>Skuldir ríkissjóðs m.v. skuldareglu</t>
  </si>
  <si>
    <t>Í hlutfalli af VLF (%)</t>
  </si>
  <si>
    <t>Heimild</t>
  </si>
  <si>
    <t>Horfur</t>
  </si>
  <si>
    <t>Betri samgöngur</t>
  </si>
  <si>
    <t>Byggðastofnun</t>
  </si>
  <si>
    <t>Fjárföng ehf.</t>
  </si>
  <si>
    <t>Húsnæðissjóður</t>
  </si>
  <si>
    <t>Menntasjóður námsmanna</t>
  </si>
  <si>
    <t>Lánveitingar, samtals</t>
  </si>
  <si>
    <t>Verg landsframleiðsla</t>
  </si>
  <si>
    <t>ÍL-sjóður</t>
  </si>
  <si>
    <t>Almanna- og réttaröryggi</t>
  </si>
  <si>
    <t>Félags-, húsnæðis- og tryggingamál</t>
  </si>
  <si>
    <t>Heilbrigðismál</t>
  </si>
  <si>
    <t>Mennta- og menningarmál</t>
  </si>
  <si>
    <t>Önnur málefnasvið</t>
  </si>
  <si>
    <t>Nýsköpun, rannsóknir og þekkingargr.</t>
  </si>
  <si>
    <t>Samgöngu- og fjarskiptamál</t>
  </si>
  <si>
    <t>Skatta-, eigna- og fjármálaumsýsla</t>
  </si>
  <si>
    <t>Umhverfis- og orkumál</t>
  </si>
  <si>
    <t>Utanríkismál og alþjóðl. þróunarsamvinna</t>
  </si>
  <si>
    <t>Lögfestar breytingar</t>
  </si>
  <si>
    <t>Ólögfestar breytingar</t>
  </si>
  <si>
    <t>Lögfestar og ólögfestar breytingar samtals</t>
  </si>
  <si>
    <t>Skattastyrkir flokkaðir eftir tegund ívilnunar</t>
  </si>
  <si>
    <t>Undanþága frá skattskyldu</t>
  </si>
  <si>
    <t>Frádráttur</t>
  </si>
  <si>
    <t>Frádráttarheimild</t>
  </si>
  <si>
    <t>Lægri skattprósenta</t>
  </si>
  <si>
    <t>Alls</t>
  </si>
  <si>
    <t>Skattastyrkir flokkaðir eftir tegund skatts</t>
  </si>
  <si>
    <t>Tekjuskattur einstaklinga</t>
  </si>
  <si>
    <t>Tekjuskattur lögaðila</t>
  </si>
  <si>
    <t>Fjármagnstekjuskattur</t>
  </si>
  <si>
    <t>VSK</t>
  </si>
  <si>
    <t>Vörugjöld og aðrir neysluskattar</t>
  </si>
  <si>
    <t>Skattastyrkir flokkaðir eftir málefnasviði</t>
  </si>
  <si>
    <t>07. Nýsköpun, rannsóknir og þekkingargreinar</t>
  </si>
  <si>
    <t>08. Sveitarfélög og byggðamál</t>
  </si>
  <si>
    <t>09. Almanna- og réttaröryggi</t>
  </si>
  <si>
    <t>11. Samgöngu- og fjarskiptamál</t>
  </si>
  <si>
    <t>12. Landbúnaður</t>
  </si>
  <si>
    <t>14. Ferðaþjónusta</t>
  </si>
  <si>
    <t>17. Umhverfismál</t>
  </si>
  <si>
    <t>18. Menning, listir, íþrótta- og æskulýðsmál</t>
  </si>
  <si>
    <t>20. Framhaldsskólastig</t>
  </si>
  <si>
    <t>21. Háskólastig</t>
  </si>
  <si>
    <t>23. Sjúkrahúsþjónusta</t>
  </si>
  <si>
    <t>27. Örorka og málefni fatlaðs fólks</t>
  </si>
  <si>
    <t>29. Fjölskyldumál</t>
  </si>
  <si>
    <t>Óflokkað</t>
  </si>
  <si>
    <t>Vegna skattframkvæmdar</t>
  </si>
  <si>
    <t>Alls, % af VLF</t>
  </si>
  <si>
    <t>Áb.</t>
  </si>
  <si>
    <t>Fj. samn.</t>
  </si>
  <si>
    <t>Rekstrar- og þjónustusamningar</t>
  </si>
  <si>
    <t>04 Utanríkismál</t>
  </si>
  <si>
    <t>UTN</t>
  </si>
  <si>
    <t>05 Skatta-, eigna- og fjármálaumsýsla</t>
  </si>
  <si>
    <t>FJR</t>
  </si>
  <si>
    <t>07 Nýsköpun, rannsóknir og þekkingargreinar</t>
  </si>
  <si>
    <t>08 Sveitarfélög og byggðamál</t>
  </si>
  <si>
    <t>IRN</t>
  </si>
  <si>
    <t>09 Almanna- og réttaröryggi</t>
  </si>
  <si>
    <t>DMR</t>
  </si>
  <si>
    <t>11 Samgöngu- og fjarskiptamál</t>
  </si>
  <si>
    <t>12 Landbúnaður</t>
  </si>
  <si>
    <t>13 Sjávarútvegur og fiskeldi</t>
  </si>
  <si>
    <t>14 Ferðaþjónusta</t>
  </si>
  <si>
    <t>18 Menning, listir, íþrótta- og æskulýðsmál</t>
  </si>
  <si>
    <t>19 Fjölmiðlun</t>
  </si>
  <si>
    <t>20 Framhaldsskólastig</t>
  </si>
  <si>
    <t>MRN</t>
  </si>
  <si>
    <t>21 Háskólastig</t>
  </si>
  <si>
    <t>23 Sjúkrahúsþjónusta</t>
  </si>
  <si>
    <t>HRN</t>
  </si>
  <si>
    <t>24 Heilbrigðisþjónusta utan sjúkrahúsa</t>
  </si>
  <si>
    <t>25 Hjúkrunar- og endurhæfingarþjónusta</t>
  </si>
  <si>
    <t>29 Fjölskyldumál</t>
  </si>
  <si>
    <t>35 Alþjóðleg þróunarsamvinna</t>
  </si>
  <si>
    <t>Samtals rekstrar- og þjónustusamningar</t>
  </si>
  <si>
    <t xml:space="preserve"> </t>
  </si>
  <si>
    <t>Styrktar- og samstarfssamningar</t>
  </si>
  <si>
    <t>03 Æðsta stjórnsýsla</t>
  </si>
  <si>
    <t>10 Rétt. einstakl., trúmál og stjórnsýsla dómsmála</t>
  </si>
  <si>
    <t>15 Orkumál</t>
  </si>
  <si>
    <t>URN</t>
  </si>
  <si>
    <t>17 Umhverfismál</t>
  </si>
  <si>
    <t>FRN</t>
  </si>
  <si>
    <t>30 Vinnumarkaður og atvinnuleysi</t>
  </si>
  <si>
    <t>32 Lýðheilsa og stjórnsýsla velferðarmála</t>
  </si>
  <si>
    <t>Samtals styrktar- og samstarfssamningar</t>
  </si>
  <si>
    <t>Samtals skuldbindandi samningar</t>
  </si>
  <si>
    <t>Hlutfall af frumútgjöldum</t>
  </si>
  <si>
    <t>br. frá fjármála-áætlun
m.kr.</t>
  </si>
  <si>
    <t>breyting
%</t>
  </si>
  <si>
    <t>01 Alþingi og eftirlitsstofnanir þess</t>
  </si>
  <si>
    <t>02 Dómstólar</t>
  </si>
  <si>
    <t>06 Hagskýrslugerð og grunnskrár</t>
  </si>
  <si>
    <t>16 Markaðseftirlit og neytendamál</t>
  </si>
  <si>
    <t>22 Önnur skólastig og stjórnsýsla mennta- og barnamála</t>
  </si>
  <si>
    <t>26 Lyf og lækningavörur</t>
  </si>
  <si>
    <t>27 Örorka og málefni fatlaðs fólks</t>
  </si>
  <si>
    <t>28 Málefni aldraðra</t>
  </si>
  <si>
    <t>31 Húsnæðis-og skipulagsmál</t>
  </si>
  <si>
    <t>33 Fjármagnskostnaður, ábyrgðir og lífeyrisskuldbindi</t>
  </si>
  <si>
    <t>34 Almennur varasjóður og sértækar fjárráðstafanir</t>
  </si>
  <si>
    <t>Liðir utan ramma²</t>
  </si>
  <si>
    <r>
      <t>Aðlögun frumgjalda að GFS staðli</t>
    </r>
    <r>
      <rPr>
        <sz val="9"/>
        <rFont val="Calibri"/>
        <family val="2"/>
      </rPr>
      <t>³</t>
    </r>
  </si>
  <si>
    <t>Frumgjöld samkvæmt GFS - staðli</t>
  </si>
  <si>
    <t>Heildargjöld samkvæmt GFS - staðli</t>
  </si>
  <si>
    <t xml:space="preserve">br. 
m.kr. </t>
  </si>
  <si>
    <t>br. 
%</t>
  </si>
  <si>
    <r>
      <t>Aðlögun vaxtagjalda að GFS staðli</t>
    </r>
    <r>
      <rPr>
        <sz val="9"/>
        <rFont val="Calibri"/>
        <family val="2"/>
      </rPr>
      <t>⁴</t>
    </r>
  </si>
  <si>
    <t>Ríkisaðili</t>
  </si>
  <si>
    <t>Flokkun</t>
  </si>
  <si>
    <t>A-2</t>
  </si>
  <si>
    <t>Lindarhvoll ehf.</t>
  </si>
  <si>
    <t>A-3</t>
  </si>
  <si>
    <t>Eignasafn ríkiseigna</t>
  </si>
  <si>
    <t>Neyðarlínan ohf.</t>
  </si>
  <si>
    <t>Ríkisútvarpið ohf.</t>
  </si>
  <si>
    <t>Náttúruhamfaratrygging Íslands</t>
  </si>
  <si>
    <t>Sítus ehf.</t>
  </si>
  <si>
    <t>Betri samgöngur ohf.</t>
  </si>
  <si>
    <t>Tæknigarður ehf.</t>
  </si>
  <si>
    <t>Tæknisetur ehf.</t>
  </si>
  <si>
    <t>Fasteignir Háskóla Íslands ehf.</t>
  </si>
  <si>
    <t>Vaðlaheiðargöng hf.</t>
  </si>
  <si>
    <t>Harpa ohf.</t>
  </si>
  <si>
    <t>Vísindagarðurinn ehf.</t>
  </si>
  <si>
    <t>Leigufélagið Bríet ehf.</t>
  </si>
  <si>
    <t>Öryggisfjarskipti ehf.</t>
  </si>
  <si>
    <t>Eignar-hluti</t>
  </si>
  <si>
    <t>Skuldir</t>
  </si>
  <si>
    <t>Eignir</t>
  </si>
  <si>
    <t>Tekjur</t>
  </si>
  <si>
    <t>Afkoma ársins</t>
  </si>
  <si>
    <t>ÍL sjóður</t>
  </si>
  <si>
    <t>Náttúruhamfaratr. Íslands</t>
  </si>
  <si>
    <t>Veitt langtímalán</t>
  </si>
  <si>
    <t xml:space="preserve"> - þar af hlutdeildarlán</t>
  </si>
  <si>
    <t>Náttúruhamfaratryggingar Íslands</t>
  </si>
  <si>
    <t>Breyting</t>
  </si>
  <si>
    <t>Rekstraráætlun:</t>
  </si>
  <si>
    <t>Rekstrartekjur</t>
  </si>
  <si>
    <t>Rekstrargjöld</t>
  </si>
  <si>
    <t>Fjármunatekjur</t>
  </si>
  <si>
    <t>Fjármagnsgjöld</t>
  </si>
  <si>
    <t>Framlög í afskriftasjóð</t>
  </si>
  <si>
    <t>Hagnaður (-tap) af reglulegri starfsemi</t>
  </si>
  <si>
    <t>Framlag til rekstrar úr ríkissjóði</t>
  </si>
  <si>
    <t>Fengin framlög og óreglulegar tekjur</t>
  </si>
  <si>
    <t>Hagnaður (-tap)</t>
  </si>
  <si>
    <t>Sjóðstreymi:</t>
  </si>
  <si>
    <t>Rekstrarliðir sem ekki hafa áhrif á handbært fé</t>
  </si>
  <si>
    <t>Breytingar á rekstrartengdum eignum og skuldum</t>
  </si>
  <si>
    <t>Afborganir af veittum löngum lánum</t>
  </si>
  <si>
    <t>Varanlegir rekstrarfjármunir, nettó</t>
  </si>
  <si>
    <t>Ávöxtunarsamningar og áhættufjármunir, nettó</t>
  </si>
  <si>
    <t>Fjárfestingarhreyfingar, samtals</t>
  </si>
  <si>
    <t>Tekin löng lán</t>
  </si>
  <si>
    <t>Afborganir af teknum löngum lánum</t>
  </si>
  <si>
    <t>Stofnframlög</t>
  </si>
  <si>
    <t>Arðgreiðsla í ríkissjóð</t>
  </si>
  <si>
    <t>Handbært fé í ársbyrjun</t>
  </si>
  <si>
    <t>Handbært fé í árslok</t>
  </si>
  <si>
    <t>Þjóðhagsgrunnur, m.kr.</t>
  </si>
  <si>
    <t>A1-hluti</t>
  </si>
  <si>
    <t>A2-hluti</t>
  </si>
  <si>
    <t>A3-hluti</t>
  </si>
  <si>
    <t>Innbyrðis viðskipti</t>
  </si>
  <si>
    <t>Samstæða</t>
  </si>
  <si>
    <t>Fjármagnsjöfnuður</t>
  </si>
  <si>
    <t>Heildarútgjöld</t>
  </si>
  <si>
    <t>Arður til ríkissjóðs</t>
  </si>
  <si>
    <t>Fjárfesting, nettó</t>
  </si>
  <si>
    <t>Greitt til Háskóla Íslands</t>
  </si>
  <si>
    <t>Vísindagarðar HÍ ehf.</t>
  </si>
  <si>
    <t>Tekjuskattur</t>
  </si>
  <si>
    <r>
      <rPr>
        <vertAlign val="superscript"/>
        <sz val="7"/>
        <rFont val="FiraGO Light"/>
        <family val="2"/>
      </rPr>
      <t>1</t>
    </r>
    <r>
      <rPr>
        <sz val="7"/>
        <rFont val="FiraGO Light"/>
        <family val="2"/>
      </rPr>
      <t xml:space="preserve"> Án launa- og verðlagsbreytinga.</t>
    </r>
  </si>
  <si>
    <r>
      <rPr>
        <vertAlign val="superscript"/>
        <sz val="7"/>
        <rFont val="FiraGO Light"/>
        <family val="2"/>
      </rPr>
      <t>3</t>
    </r>
    <r>
      <rPr>
        <sz val="7"/>
        <rFont val="FiraGO Light"/>
        <family val="2"/>
      </rPr>
      <t xml:space="preserve"> Hér er um að ræða aðlaganir vegna meðferðar lífeyrisskuldbindinga og afskriftir skattkrafna. Þá er einnig um að ræða aðlaganir vegna innbyrðis viðskipta milli A-hluta aðila, svo sem Ríkiskaup, þannig að ekki komi til tvítalninga útgjalda. </t>
    </r>
  </si>
  <si>
    <t>Þjóðhagsspá</t>
  </si>
  <si>
    <t>Aðgerðir og helstu skattabreytingar</t>
  </si>
  <si>
    <t>Arðgreiðslur og tekjur B-hluta fyrirtækja</t>
  </si>
  <si>
    <t>Útfærsla ráðstafna til að draga úr útgjaldavexti eftir málefnasviðum</t>
  </si>
  <si>
    <t>Breytingar á ramma gildandi fjármálaáætlunar</t>
  </si>
  <si>
    <t>Yfirlit yfir skildbindandi samninga eftir málefnasviðum</t>
  </si>
  <si>
    <t>Flokkun ríkisaðila í A-2 og A-3 hluta</t>
  </si>
  <si>
    <t>Samandregið rekstrar- og sjóðstreymisyfirlit A3-hluta ríkisaðila</t>
  </si>
  <si>
    <t>Helstu tölur úr ársreikningum stærstu A3-hluta ríkisaðila</t>
  </si>
  <si>
    <t>Rekstaryfirlit aðila í A-hluta ásamt mati á umfangi innbyrðis viðskipta</t>
  </si>
  <si>
    <t>Samandregið rekstrar- og sjóðsstreymisyfirlit B-hluta ríkisaðila</t>
  </si>
  <si>
    <t>Sjóðsstreymi ríkissjóðs (A1-hluta)</t>
  </si>
  <si>
    <t>Skuldir, kröfur og hrein staða ríkissjóðs</t>
  </si>
  <si>
    <t>Samneysla</t>
  </si>
  <si>
    <t>Fjármunamyndun</t>
  </si>
  <si>
    <t>Útflutningur</t>
  </si>
  <si>
    <t>Innflutningur</t>
  </si>
  <si>
    <t>Þjóðarútgjöld</t>
  </si>
  <si>
    <t>Vöru- og þjónustujöfnuður % VLF</t>
  </si>
  <si>
    <t>Viðskiptajöfnuður % VLF</t>
  </si>
  <si>
    <t>Vísitala neysluverðs</t>
  </si>
  <si>
    <t>Atvinnuleysi VMST</t>
  </si>
  <si>
    <t>Heildarlaun á ársverk</t>
  </si>
  <si>
    <t>Frá erlendum aðilum</t>
  </si>
  <si>
    <t>Frá alþjóðastofnunum</t>
  </si>
  <si>
    <t>Frá opinberum aðilum</t>
  </si>
  <si>
    <t>Til alþjóðastofnana</t>
  </si>
  <si>
    <t>Til almannatrygginga</t>
  </si>
  <si>
    <t>Til sveitarfélaga</t>
  </si>
  <si>
    <t>Nýr landspítali ohf.</t>
  </si>
  <si>
    <t>Rannsókna- og háskólanet Ísl.</t>
  </si>
  <si>
    <t>Landskerfi bókasafna</t>
  </si>
  <si>
    <t>Þróunarfélag Kefl.flugv.ehf.</t>
  </si>
  <si>
    <r>
      <t>Tekin langtímalán</t>
    </r>
    <r>
      <rPr>
        <b/>
        <vertAlign val="superscript"/>
        <sz val="9"/>
        <color rgb="FF003D85"/>
        <rFont val="FiraGO Light"/>
        <family val="2"/>
      </rPr>
      <t>1</t>
    </r>
  </si>
  <si>
    <t>Ríkiseignir</t>
  </si>
  <si>
    <t>Endurskoðun á skattlagningu ökutækja og eldsneytis</t>
  </si>
  <si>
    <t>Veiðigjald</t>
  </si>
  <si>
    <t>Áætlun 2025</t>
  </si>
  <si>
    <t>30. Vinnumarkaður og atvinnuleysi</t>
  </si>
  <si>
    <t>31. Húsnæðis- og skipulagsmál</t>
  </si>
  <si>
    <t>² Aðrir liðir utan ramma: ríkisábyrgðir, afskriftir skattkrafna, lífeyrisskuldbindingar, Atvinnuleysistryggingasjóður</t>
  </si>
  <si>
    <t xml:space="preserve">  og framlög til Jöfnunarsjóðs sveitarfélaga.</t>
  </si>
  <si>
    <t>Rekstur</t>
  </si>
  <si>
    <t xml:space="preserve">    Alls</t>
  </si>
  <si>
    <t>útgjöld ma.kr.</t>
  </si>
  <si>
    <t>22 Önnur skólastig og stjórnsýsla mennta- og barnam.</t>
  </si>
  <si>
    <t>Fjárlagafrumvarp fyrir árið 2026</t>
  </si>
  <si>
    <t>Samanburður á áætlun fjárlaga ársins 2025 og fjárlagafrumvarps 2026</t>
  </si>
  <si>
    <t>Skilyrði stöðugleikareglu</t>
  </si>
  <si>
    <t>Afkomuhorfur ársins 2026 í samanburði við fjármálaáætlun</t>
  </si>
  <si>
    <t>Samanburður á áætlun fjáralaga ársins 2026 og uppfærðar afkomuhorfur</t>
  </si>
  <si>
    <t>Tekjuáætlun 2024-2026</t>
  </si>
  <si>
    <t>Skattastyrkir ársins 2024 og áætlaðir skattastyrkir áranna 2025 og 2026</t>
  </si>
  <si>
    <t>Fjárfestingar 2025 og 2026</t>
  </si>
  <si>
    <t>Breytingar á rammasettum útgjöldum frá fjárlögum 2026</t>
  </si>
  <si>
    <t>Verðlagsbreytingar fjárlagafrumvarpsins 2026</t>
  </si>
  <si>
    <t>Áætlaðar lykilstærðir A2-hluta ríkisaðila fyrir árið 2026</t>
  </si>
  <si>
    <t>Samandregið rekstrar- og sjóðstreymisyfirlit A2-hluta ríkisaðila</t>
  </si>
  <si>
    <t>Helstu tölur úr ársreikningum A2-hluta ríkisaðila fyrir árið 2025</t>
  </si>
  <si>
    <t>Samstæðuyfirlit A-hluta í heild fyrir árin 2023-2026</t>
  </si>
  <si>
    <t>Áætlaðar lykilstærðir B-hluta ríkisaðila fyrir árið 2026</t>
  </si>
  <si>
    <t>Lántökuheimildir sem lagt er til að verði veittar skv. 5 gr.</t>
  </si>
  <si>
    <t>Breyting frá fyrra ári (%) nema annað sé tekið fram</t>
  </si>
  <si>
    <t>2024 Ma.kr.</t>
  </si>
  <si>
    <t>2024 Gildi</t>
  </si>
  <si>
    <t>2025 Spá</t>
  </si>
  <si>
    <t>2026 Spá</t>
  </si>
  <si>
    <t xml:space="preserve">Einkaneysla </t>
  </si>
  <si>
    <t xml:space="preserve">   Atvinnuvegir</t>
  </si>
  <si>
    <t xml:space="preserve">   Íbúðarhúsnæði</t>
  </si>
  <si>
    <t xml:space="preserve">   Starfsemi hins opinbera</t>
  </si>
  <si>
    <t>Fjárlög
2025</t>
  </si>
  <si>
    <t>Frv.
2026</t>
  </si>
  <si>
    <t>Stöðugleikaregla, ma.kr. á verðlagi 2025</t>
  </si>
  <si>
    <t>Frumvarp
2026</t>
  </si>
  <si>
    <t>Heildarútgjöld málefnasviða</t>
  </si>
  <si>
    <t>Undanskildir liðir</t>
  </si>
  <si>
    <t>Lífeyrisskuldbindingar</t>
  </si>
  <si>
    <t>Fjárfestingarframlög</t>
  </si>
  <si>
    <t>Atvinnuleysisbætur</t>
  </si>
  <si>
    <t>Jöfnunarsjóður, lögbundin framlög</t>
  </si>
  <si>
    <t>Afskriftir skattkrafna</t>
  </si>
  <si>
    <t>Tapaðar kröfur og tjónabætur</t>
  </si>
  <si>
    <t>Útgjaldagrunnur stöðugleikareglu</t>
  </si>
  <si>
    <t>Raunvöxtur útgjalda milli ára, %</t>
  </si>
  <si>
    <t>Raunvöxtur útgjalda milli ára</t>
  </si>
  <si>
    <t>Raunvöxtur tekjuráðstafana milli ára</t>
  </si>
  <si>
    <t>Útgjaldavöxtur að frádregnum tekjuráðstöfunum</t>
  </si>
  <si>
    <t>Stöðugleikaregla, % br. frá fyrra ári</t>
  </si>
  <si>
    <t>Fjármála-áætlun
2026</t>
  </si>
  <si>
    <t>Áætlun
2025</t>
  </si>
  <si>
    <r>
      <t xml:space="preserve">2024 </t>
    </r>
    <r>
      <rPr>
        <b/>
        <vertAlign val="superscript"/>
        <sz val="9"/>
        <color rgb="FF003D85"/>
        <rFont val="FiraGO Light"/>
        <family val="2"/>
      </rPr>
      <t>1</t>
    </r>
  </si>
  <si>
    <t>Horfur        2025</t>
  </si>
  <si>
    <t>Frumvarp 2026</t>
  </si>
  <si>
    <t>Horfur 2025</t>
  </si>
  <si>
    <r>
      <rPr>
        <vertAlign val="superscript"/>
        <sz val="9"/>
        <rFont val="FiraGO Light"/>
        <family val="2"/>
      </rPr>
      <t>1</t>
    </r>
    <r>
      <rPr>
        <sz val="9"/>
        <rFont val="FiraGO Light"/>
        <family val="2"/>
      </rPr>
      <t xml:space="preserve"> Byggt á tölum Hagstofu Íslands í júní 2025.</t>
    </r>
  </si>
  <si>
    <r>
      <t xml:space="preserve">Tekjuáhrif helstu skattabreytinga á ríkissjóð 2026, ma.kr. </t>
    </r>
    <r>
      <rPr>
        <b/>
        <vertAlign val="superscript"/>
        <sz val="9"/>
        <color rgb="FF003D85"/>
        <rFont val="FiraGO Light"/>
        <family val="2"/>
      </rPr>
      <t>1</t>
    </r>
  </si>
  <si>
    <t>Tekjuskattur einstaklinga, samsköttun o.fl.</t>
  </si>
  <si>
    <t>Kílómetragjald vegna notkunar bifreiða</t>
  </si>
  <si>
    <t>Jöfnunargjald raforku</t>
  </si>
  <si>
    <t>Innviðagjald</t>
  </si>
  <si>
    <t>Verðlagsuppfærsla krónutölugjalda</t>
  </si>
  <si>
    <t>1. Fjárhæðir tákna áhrif hverrar kerfisbreytingar í samanburði við óbreytt kerfi á árinu 2026. Fjárhæðir eru með hliðaráhrifum á virðisaukaskatt.</t>
  </si>
  <si>
    <t>2. Krónutölugjöld hækka um 3,7%. Tekjuáhrif af breytingum eru reiknuð m.v. óbreytt gjöld.</t>
  </si>
  <si>
    <t>Tekjur af arði frá félögum eru settar fram samkvæmt GFS-staðlinum. Á rekstrargrunni er arðgreiðsla tekjufærð að því marki sem hún er ekki umfram hlutdeild ríkisins í áætluðum hagnaði af reglulegri starfsemi félags. Á greiðslugrunni er arðgreiðslan færð til fulls, óháð hagnaði félags. Í áætlun fyrir árin 2025 og 2026 eru arðgreiðslur ekki umfram hagnað af reglulegri starfsemi og tekjur því hinar sömu á rekstrargrunni og greiðslugrunni.</t>
  </si>
  <si>
    <r>
      <t>Frumvarp</t>
    </r>
    <r>
      <rPr>
        <vertAlign val="superscript"/>
        <sz val="9"/>
        <color rgb="FF003D85"/>
        <rFont val="Times New Roman"/>
        <family val="1"/>
      </rPr>
      <t xml:space="preserve">1
</t>
    </r>
    <r>
      <rPr>
        <b/>
        <sz val="9"/>
        <color rgb="FF003D85"/>
        <rFont val="FiraGO Light"/>
        <family val="2"/>
      </rPr>
      <t>2026</t>
    </r>
  </si>
  <si>
    <t>Fjárfestingarframlög og fjármagnstilfærslur, ma.kr.</t>
  </si>
  <si>
    <t>Vegagerðin</t>
  </si>
  <si>
    <t>Nýsköpun, rannsóknir og þekkingargreinar</t>
  </si>
  <si>
    <t>Styrkir til nýsköpunarfyrirtækja</t>
  </si>
  <si>
    <t>Rammaáætlanir ESB um menntun, rannsóknir og tækniþróun</t>
  </si>
  <si>
    <t>Rannsóknar og tæknisjóðir</t>
  </si>
  <si>
    <t>Nýi Landspítalinn</t>
  </si>
  <si>
    <t>Legudeild við sjúkrahúsið á Akureyri</t>
  </si>
  <si>
    <t>Uppbygging nýs fangelsis</t>
  </si>
  <si>
    <t>Þjóðarhöllin</t>
  </si>
  <si>
    <t>Félags- og tryggingamál</t>
  </si>
  <si>
    <t>Húsnæðisstuðningur</t>
  </si>
  <si>
    <t>Húsnæði vegna öryggisvistunar fullorðinna</t>
  </si>
  <si>
    <t>Aðrar framkvæmdir</t>
  </si>
  <si>
    <t>Nýbygging við Stjórnarráðið</t>
  </si>
  <si>
    <t>Annað</t>
  </si>
  <si>
    <t>Fjárfestingarframlög og fjármagnstilfærslur¹</t>
  </si>
  <si>
    <t>¹Fjárhæðir í töflu byggja á fjárheimildum hvors árs. Til viðbótar við fjárheimildir ársins geta uppsafnaðar heimildir verið nýttar.</t>
  </si>
  <si>
    <r>
      <t>Fjárlög</t>
    </r>
    <r>
      <rPr>
        <b/>
        <vertAlign val="superscript"/>
        <sz val="9"/>
        <color rgb="FF003D85"/>
        <rFont val="FiraGO Light"/>
        <family val="2"/>
      </rPr>
      <t>1</t>
    </r>
    <r>
      <rPr>
        <b/>
        <sz val="9"/>
        <color rgb="FF003D85"/>
        <rFont val="FiraGO Light"/>
        <family val="2"/>
      </rPr>
      <t xml:space="preserve">
2025</t>
    </r>
  </si>
  <si>
    <r>
      <t>Frumvarp</t>
    </r>
    <r>
      <rPr>
        <b/>
        <vertAlign val="superscript"/>
        <sz val="9"/>
        <color rgb="FF003D85"/>
        <rFont val="FiraGO Light"/>
        <family val="2"/>
      </rPr>
      <t>2</t>
    </r>
    <r>
      <rPr>
        <b/>
        <sz val="9"/>
        <color rgb="FF003D85"/>
        <rFont val="FiraGO Light"/>
        <family val="2"/>
      </rPr>
      <t xml:space="preserve">
2026</t>
    </r>
  </si>
  <si>
    <t>Samtals rammasett útgjöld á verðlagi 2025</t>
  </si>
  <si>
    <t>Liðir utan ramma³</t>
  </si>
  <si>
    <t>Aðlögun frumgjalda að GFS staðli⁴</t>
  </si>
  <si>
    <t>Launa- og verðlagsbætur 2026</t>
  </si>
  <si>
    <r>
      <t>Aðlögun vaxtagjalda að GFS staðli</t>
    </r>
    <r>
      <rPr>
        <vertAlign val="superscript"/>
        <sz val="9"/>
        <rFont val="FiraGO Light"/>
        <family val="2"/>
      </rPr>
      <t>5</t>
    </r>
    <r>
      <rPr>
        <sz val="9"/>
        <rFont val="FiraGO Light"/>
        <family val="2"/>
      </rPr>
      <t>….........................................................</t>
    </r>
  </si>
  <si>
    <r>
      <rPr>
        <vertAlign val="superscript"/>
        <sz val="8"/>
        <rFont val="FiraGO Light"/>
        <family val="2"/>
      </rPr>
      <t>1</t>
    </r>
    <r>
      <rPr>
        <sz val="8"/>
        <rFont val="FiraGO Light"/>
        <family val="2"/>
      </rPr>
      <t xml:space="preserve"> Fjárlög 2025 að teknu tilliti til breyttrar skipan stjórnarráðsins</t>
    </r>
  </si>
  <si>
    <r>
      <rPr>
        <vertAlign val="superscript"/>
        <sz val="8"/>
        <color theme="1"/>
        <rFont val="FiraGO Light"/>
        <family val="2"/>
      </rPr>
      <t>2</t>
    </r>
    <r>
      <rPr>
        <sz val="11"/>
        <color theme="1"/>
        <rFont val="Calibri"/>
        <family val="2"/>
        <scheme val="minor"/>
      </rPr>
      <t xml:space="preserve"> </t>
    </r>
    <r>
      <rPr>
        <sz val="8"/>
        <rFont val="FiraGO Light"/>
        <family val="2"/>
      </rPr>
      <t>Án launa- og verðlagsbreytinga</t>
    </r>
  </si>
  <si>
    <r>
      <rPr>
        <vertAlign val="superscript"/>
        <sz val="8"/>
        <rFont val="FiraGO Light"/>
        <family val="2"/>
      </rPr>
      <t xml:space="preserve">3 </t>
    </r>
    <r>
      <rPr>
        <sz val="8"/>
        <rFont val="FiraGO Light"/>
        <family val="2"/>
      </rPr>
      <t>Liðir sem falla utan ramma málefnasviða að frátöldum vaxtagjöldum eru eftirfarandi: ríkisábyrgðir, lífeyrisskuldbindingar, Atvinnuleysistryggingasjóður og framlög til Jöfnunarsjóðs sveitarfélaga.</t>
    </r>
  </si>
  <si>
    <r>
      <rPr>
        <vertAlign val="superscript"/>
        <sz val="8"/>
        <rFont val="FiraGO Light"/>
        <family val="2"/>
      </rPr>
      <t xml:space="preserve">4 </t>
    </r>
    <r>
      <rPr>
        <sz val="8"/>
        <rFont val="FiraGO Light"/>
        <family val="2"/>
      </rPr>
      <t xml:space="preserve">Hér er um að ræða aðlaganir vegna meðferðar lífeyrisskuldbindinga og afskriftir skattkrafna. Þá er einnig um að ræða aðlaganir vegna innbyrðis viðskipta milli A-hluta aðila þannig að ekki komi til tvítalninga útgjalda. </t>
    </r>
  </si>
  <si>
    <r>
      <rPr>
        <vertAlign val="superscript"/>
        <sz val="8"/>
        <rFont val="FiraGO Light"/>
        <family val="2"/>
      </rPr>
      <t>5</t>
    </r>
    <r>
      <rPr>
        <sz val="8"/>
        <rFont val="FiraGO Light"/>
        <family val="2"/>
      </rPr>
      <t xml:space="preserve"> Reiknuð vaxtagjöld vegna ófjármagnaðra lífeyrisskuldbindinga.</t>
    </r>
  </si>
  <si>
    <t>Rammi
fjármálaáætl.
2026</t>
  </si>
  <si>
    <r>
      <t>Rammi
frumvarp
2026</t>
    </r>
    <r>
      <rPr>
        <b/>
        <vertAlign val="superscript"/>
        <sz val="9"/>
        <color rgb="FF003D85"/>
        <rFont val="Calibri"/>
        <family val="2"/>
      </rPr>
      <t>1</t>
    </r>
  </si>
  <si>
    <t>-</t>
  </si>
  <si>
    <r>
      <rPr>
        <vertAlign val="superscript"/>
        <sz val="7"/>
        <rFont val="FiraGO Light"/>
        <family val="2"/>
      </rPr>
      <t>2</t>
    </r>
    <r>
      <rPr>
        <sz val="7"/>
        <rFont val="FiraGO Light"/>
        <family val="2"/>
      </rPr>
      <t xml:space="preserve"> Liðir sem falla utan ramma málefnasviða að frátöldum vaxtagjöldum eru eftirfarandi: ríkisábyrgðir, lífeyrisskuldbindingar, Atvinnuleysistryggingasjóður og framlög til Jöfnunarsjóðs sveitarfélaga.</t>
    </r>
  </si>
  <si>
    <r>
      <rPr>
        <vertAlign val="superscript"/>
        <sz val="7"/>
        <rFont val="FiraGO Light"/>
        <family val="2"/>
      </rPr>
      <t>4</t>
    </r>
    <r>
      <rPr>
        <sz val="7"/>
        <rFont val="FiraGO Light"/>
        <family val="2"/>
      </rPr>
      <t xml:space="preserve"> Reiknuð vaxtagjöld vegna ófjármagnaðra lífeyrisskuldbindinga.</t>
    </r>
  </si>
  <si>
    <t>Áætlaðar launabætur 2026</t>
  </si>
  <si>
    <t>Verðlagsbreytingar fjárlagafrumvarps 2026</t>
  </si>
  <si>
    <t>MNH</t>
  </si>
  <si>
    <t>ATRN</t>
  </si>
  <si>
    <t>FOR</t>
  </si>
  <si>
    <t>25 Hjúkrunar- og endurhæfingaþjónusta</t>
  </si>
  <si>
    <t>Minjavernd hf.</t>
  </si>
  <si>
    <t>Storð ehf.</t>
  </si>
  <si>
    <t>Eignarhlutir ehf.</t>
  </si>
  <si>
    <t>Fasteignafélagið Þórkatla ehf.</t>
  </si>
  <si>
    <t>Keilir</t>
  </si>
  <si>
    <t>Þjóðarhöll ehf</t>
  </si>
  <si>
    <t>Þjóðarleikvangur ehf.</t>
  </si>
  <si>
    <t>Ársreikningar 2024, m.kr.</t>
  </si>
  <si>
    <t>Eigið fé 31.12.24</t>
  </si>
  <si>
    <t>Gjöld</t>
  </si>
  <si>
    <r>
      <rPr>
        <vertAlign val="superscript"/>
        <sz val="8"/>
        <rFont val="FiraGO Light"/>
        <family val="2"/>
      </rPr>
      <t>1</t>
    </r>
    <r>
      <rPr>
        <sz val="8"/>
        <rFont val="FiraGO Light"/>
        <family val="2"/>
      </rPr>
      <t>Hámarks endurlán frá ríkissjóði skv. 5.gr. þessa frumvarps</t>
    </r>
  </si>
  <si>
    <t>Horfur
2025</t>
  </si>
  <si>
    <t>Ársreikningur 2024, m.kr.</t>
  </si>
  <si>
    <t>Fasteignafélagið Þórkatla</t>
  </si>
  <si>
    <t>Nýr Landspítali ohf.</t>
  </si>
  <si>
    <t>Vaðlaheiðargöng</t>
  </si>
  <si>
    <t>Frumvarp 
2026</t>
  </si>
  <si>
    <t xml:space="preserve"> Happdrætti Háskóla Íslands</t>
  </si>
  <si>
    <t xml:space="preserve"> Áfengis- og tóbaksverslun ríkisins</t>
  </si>
  <si>
    <t xml:space="preserve"> Íslenskar orkurannsóknir</t>
  </si>
  <si>
    <t xml:space="preserve"> Nýsköpunarsjóðurinn Kría</t>
  </si>
  <si>
    <t>Rekstrarhreyfingar</t>
  </si>
  <si>
    <t>Innheimta</t>
  </si>
  <si>
    <t>Greiðslur</t>
  </si>
  <si>
    <t>Rekstrargjöld án fjármagnskostnaðar</t>
  </si>
  <si>
    <t>Fjármagnskostnaður</t>
  </si>
  <si>
    <t>Fjárfestingahreyfingar</t>
  </si>
  <si>
    <t>Skammtímalán, breyting</t>
  </si>
  <si>
    <t>Lánveitingar ríkissjóðs, ma.kr.</t>
  </si>
  <si>
    <t>Áætlun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</si>
</sst>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-* #,##0_-;\-* #,##0_-;_-* &quot;-&quot;_-;_-@_-"/>
    <numFmt numFmtId="43" formatCode="_-* #,##0.00_-;\-* #,##0.00_-;_-* &quot;-&quot;??_-;_-@_-"/>
    <numFmt numFmtId="164" formatCode="@\ *."/>
    <numFmt numFmtId="165" formatCode="#,##0.0\ \ \ \ "/>
    <numFmt numFmtId="166" formatCode="#,##0.0\ \ \ \ \ "/>
    <numFmt numFmtId="167" formatCode="#,##0.0"/>
    <numFmt numFmtId="168" formatCode="#,##0\ \ \ \ "/>
    <numFmt numFmtId="169" formatCode="0.0"/>
    <numFmt numFmtId="170" formatCode="#,##0\ \ \ \ \ "/>
    <numFmt numFmtId="171" formatCode="@*."/>
    <numFmt numFmtId="172" formatCode="0.0%"/>
    <numFmt numFmtId="173" formatCode="\-\ \ \ \ "/>
    <numFmt numFmtId="174" formatCode="\-\ \ \ \ \ \ "/>
    <numFmt numFmtId="175" formatCode="#,##0\ \ \ \ ;\-#,##0\ \ \ \ ;\.\ \ \ \ "/>
    <numFmt numFmtId="176" formatCode="#,##0.0,"/>
    <numFmt numFmtId="177" formatCode="#,##0,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FiraGO Light"/>
      <family val="2"/>
    </font>
    <font>
      <sz val="12"/>
      <color theme="1"/>
      <name val="FiraGO Light"/>
      <family val="2"/>
    </font>
    <font>
      <u/>
      <sz val="11"/>
      <color theme="10"/>
      <name val="Calibri"/>
      <family val="2"/>
      <scheme val="minor"/>
    </font>
    <font>
      <b/>
      <sz val="9"/>
      <color rgb="FF003D85"/>
      <name val="FiraGO Light"/>
      <family val="2"/>
    </font>
    <font>
      <sz val="9"/>
      <name val="FiraGO Light"/>
      <family val="2"/>
    </font>
    <font>
      <b/>
      <sz val="9"/>
      <name val="FiraGO Light"/>
      <family val="2"/>
    </font>
    <font>
      <sz val="10"/>
      <name val="FiraGO Light"/>
      <family val="2"/>
    </font>
    <font>
      <b/>
      <vertAlign val="superscript"/>
      <sz val="9"/>
      <color rgb="FF003D85"/>
      <name val="FiraGO Light"/>
      <family val="2"/>
    </font>
    <font>
      <b/>
      <sz val="10"/>
      <name val="FiraGO Light"/>
      <family val="2"/>
    </font>
    <font>
      <vertAlign val="superscript"/>
      <sz val="9"/>
      <name val="FiraGO Light"/>
      <family val="2"/>
    </font>
    <font>
      <sz val="7"/>
      <name val="FiraGO Light"/>
      <family val="2"/>
    </font>
    <font>
      <sz val="8"/>
      <name val="FiraGO Light"/>
      <family val="2"/>
    </font>
    <font>
      <sz val="10"/>
      <name val="Times New Roman"/>
      <family val="1"/>
    </font>
    <font>
      <i/>
      <sz val="9"/>
      <name val="FiraGO Light"/>
      <family val="2"/>
    </font>
    <font>
      <sz val="9"/>
      <name val="Times New Roman"/>
      <family val="1"/>
    </font>
    <font>
      <vertAlign val="superscript"/>
      <sz val="9"/>
      <color rgb="FF003D85"/>
      <name val="Times New Roman"/>
      <family val="1"/>
    </font>
    <font>
      <vertAlign val="superscript"/>
      <sz val="8"/>
      <name val="FiraGO Light"/>
      <family val="2"/>
    </font>
    <font>
      <b/>
      <sz val="10"/>
      <name val="Times New Roman"/>
      <family val="1"/>
    </font>
    <font>
      <b/>
      <i/>
      <sz val="9"/>
      <name val="FiraGO Light"/>
      <family val="2"/>
    </font>
    <font>
      <b/>
      <i/>
      <sz val="9"/>
      <color theme="1"/>
      <name val="FiraGO Light"/>
      <family val="2"/>
    </font>
    <font>
      <sz val="9"/>
      <color theme="1"/>
      <name val="FiraGO Light"/>
      <family val="2"/>
    </font>
    <font>
      <b/>
      <sz val="9"/>
      <color theme="1"/>
      <name val="FiraGO Light"/>
      <family val="2"/>
    </font>
    <font>
      <sz val="8"/>
      <color theme="1"/>
      <name val="FiraGO Light"/>
      <family val="2"/>
    </font>
    <font>
      <b/>
      <vertAlign val="superscript"/>
      <sz val="9"/>
      <color rgb="FF003D85"/>
      <name val="Calibri"/>
      <family val="2"/>
    </font>
    <font>
      <sz val="9"/>
      <color rgb="FFFF0000"/>
      <name val="FiraGO Light"/>
      <family val="2"/>
    </font>
    <font>
      <sz val="9"/>
      <name val="Calibri"/>
      <family val="2"/>
    </font>
    <font>
      <b/>
      <sz val="11"/>
      <color theme="1"/>
      <name val="FiraGO Light"/>
      <family val="2"/>
    </font>
    <font>
      <sz val="10"/>
      <color rgb="FFFF0000"/>
      <name val="Times New Roman"/>
      <family val="1"/>
    </font>
    <font>
      <vertAlign val="superscript"/>
      <sz val="7"/>
      <name val="FiraGO Light"/>
      <family val="2"/>
    </font>
    <font>
      <b/>
      <sz val="9"/>
      <name val="Times New Roman"/>
      <family val="1"/>
    </font>
    <font>
      <vertAlign val="superscript"/>
      <sz val="8"/>
      <color theme="1"/>
      <name val="FiraGO Light"/>
      <family val="2"/>
    </font>
    <font>
      <b/>
      <sz val="8"/>
      <color rgb="FF003D85"/>
      <name val="FiraGO Light"/>
      <family val="2"/>
    </font>
    <font>
      <sz val="8"/>
      <name val="Times New Roman"/>
      <family val="1"/>
    </font>
    <font>
      <b/>
      <sz val="12"/>
      <color rgb="FF003D85"/>
      <name val="FiraGO Light"/>
      <family val="2"/>
    </font>
    <font>
      <b/>
      <sz val="8"/>
      <name val="FiraGO Light"/>
      <family val="2"/>
    </font>
    <font>
      <i/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3D85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rgb="FF003D85"/>
      </top>
      <bottom/>
      <diagonal/>
    </border>
    <border>
      <left/>
      <right/>
      <top/>
      <bottom style="hair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4" fillId="0" borderId="0"/>
    <xf numFmtId="41" fontId="1" fillId="0" borderId="0" applyFont="0" applyFill="0" applyBorder="0" applyAlignment="0" applyProtection="0"/>
  </cellStyleXfs>
  <cellXfs count="213">
    <xf numFmtId="0" fontId="0" fillId="0" borderId="0" xfId="0"/>
    <xf numFmtId="0" fontId="2" fillId="0" borderId="0" xfId="0" applyFont="1"/>
    <xf numFmtId="0" fontId="4" fillId="0" borderId="0" xfId="2"/>
    <xf numFmtId="164" fontId="7" fillId="0" borderId="0" xfId="0" applyNumberFormat="1" applyFont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5" fillId="2" borderId="0" xfId="0" applyFont="1" applyFill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164" fontId="6" fillId="2" borderId="0" xfId="0" applyNumberFormat="1" applyFont="1" applyFill="1"/>
    <xf numFmtId="164" fontId="7" fillId="2" borderId="0" xfId="0" applyNumberFormat="1" applyFont="1" applyFill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167" fontId="7" fillId="2" borderId="0" xfId="0" applyNumberFormat="1" applyFont="1" applyFill="1"/>
    <xf numFmtId="164" fontId="6" fillId="2" borderId="0" xfId="0" applyNumberFormat="1" applyFont="1" applyFill="1" applyAlignment="1">
      <alignment horizontal="left" indent="2"/>
    </xf>
    <xf numFmtId="167" fontId="6" fillId="2" borderId="0" xfId="0" applyNumberFormat="1" applyFont="1" applyFill="1"/>
    <xf numFmtId="3" fontId="6" fillId="2" borderId="0" xfId="0" applyNumberFormat="1" applyFont="1" applyFill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0" fontId="5" fillId="2" borderId="1" xfId="0" applyFont="1" applyFill="1" applyBorder="1"/>
    <xf numFmtId="168" fontId="7" fillId="2" borderId="0" xfId="0" applyNumberFormat="1" applyFont="1" applyFill="1" applyAlignment="1">
      <alignment horizontal="center"/>
    </xf>
    <xf numFmtId="169" fontId="7" fillId="2" borderId="0" xfId="1" applyNumberFormat="1" applyFont="1" applyFill="1" applyAlignment="1">
      <alignment horizontal="center"/>
    </xf>
    <xf numFmtId="164" fontId="6" fillId="2" borderId="0" xfId="0" applyNumberFormat="1" applyFont="1" applyFill="1" applyAlignment="1">
      <alignment horizontal="left" indent="1"/>
    </xf>
    <xf numFmtId="168" fontId="6" fillId="2" borderId="0" xfId="0" applyNumberFormat="1" applyFont="1" applyFill="1" applyAlignment="1">
      <alignment horizontal="center"/>
    </xf>
    <xf numFmtId="169" fontId="6" fillId="2" borderId="0" xfId="1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left"/>
    </xf>
    <xf numFmtId="0" fontId="8" fillId="2" borderId="0" xfId="0" applyFont="1" applyFill="1"/>
    <xf numFmtId="0" fontId="10" fillId="2" borderId="0" xfId="0" applyFont="1" applyFill="1"/>
    <xf numFmtId="169" fontId="10" fillId="2" borderId="0" xfId="0" applyNumberFormat="1" applyFont="1" applyFill="1"/>
    <xf numFmtId="10" fontId="10" fillId="2" borderId="0" xfId="1" applyNumberFormat="1" applyFont="1" applyFill="1"/>
    <xf numFmtId="10" fontId="10" fillId="2" borderId="0" xfId="0" applyNumberFormat="1" applyFont="1" applyFill="1"/>
    <xf numFmtId="10" fontId="8" fillId="2" borderId="0" xfId="1" applyNumberFormat="1" applyFont="1" applyFill="1"/>
    <xf numFmtId="10" fontId="8" fillId="2" borderId="0" xfId="0" applyNumberFormat="1" applyFont="1" applyFill="1"/>
    <xf numFmtId="3" fontId="12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5" fillId="2" borderId="1" xfId="0" applyFont="1" applyFill="1" applyBorder="1" applyAlignment="1">
      <alignment wrapText="1"/>
    </xf>
    <xf numFmtId="0" fontId="15" fillId="2" borderId="0" xfId="0" applyFont="1" applyFill="1"/>
    <xf numFmtId="164" fontId="6" fillId="2" borderId="0" xfId="0" applyNumberFormat="1" applyFont="1" applyFill="1" applyAlignment="1">
      <alignment horizontal="left"/>
    </xf>
    <xf numFmtId="170" fontId="6" fillId="2" borderId="0" xfId="0" applyNumberFormat="1" applyFont="1" applyFill="1" applyAlignment="1">
      <alignment horizontal="right"/>
    </xf>
    <xf numFmtId="170" fontId="7" fillId="2" borderId="0" xfId="0" applyNumberFormat="1" applyFont="1" applyFill="1" applyAlignment="1">
      <alignment horizontal="right"/>
    </xf>
    <xf numFmtId="170" fontId="6" fillId="2" borderId="0" xfId="0" applyNumberFormat="1" applyFont="1" applyFill="1" applyAlignment="1">
      <alignment vertical="center"/>
    </xf>
    <xf numFmtId="170" fontId="6" fillId="2" borderId="0" xfId="0" applyNumberFormat="1" applyFont="1" applyFill="1"/>
    <xf numFmtId="170" fontId="7" fillId="2" borderId="0" xfId="0" applyNumberFormat="1" applyFont="1" applyFill="1"/>
    <xf numFmtId="164" fontId="7" fillId="2" borderId="1" xfId="0" applyNumberFormat="1" applyFont="1" applyFill="1" applyBorder="1"/>
    <xf numFmtId="170" fontId="7" fillId="2" borderId="1" xfId="0" applyNumberFormat="1" applyFont="1" applyFill="1" applyBorder="1"/>
    <xf numFmtId="0" fontId="14" fillId="2" borderId="0" xfId="0" applyFont="1" applyFill="1"/>
    <xf numFmtId="170" fontId="14" fillId="2" borderId="0" xfId="0" applyNumberFormat="1" applyFont="1" applyFill="1"/>
    <xf numFmtId="0" fontId="2" fillId="0" borderId="0" xfId="0" applyFont="1" applyAlignment="1">
      <alignment horizontal="right"/>
    </xf>
    <xf numFmtId="0" fontId="16" fillId="2" borderId="0" xfId="0" applyFont="1" applyFill="1"/>
    <xf numFmtId="168" fontId="6" fillId="2" borderId="0" xfId="0" applyNumberFormat="1" applyFont="1" applyFill="1"/>
    <xf numFmtId="168" fontId="7" fillId="2" borderId="0" xfId="0" applyNumberFormat="1" applyFont="1" applyFill="1"/>
    <xf numFmtId="0" fontId="13" fillId="2" borderId="0" xfId="0" applyFont="1" applyFill="1"/>
    <xf numFmtId="0" fontId="19" fillId="2" borderId="0" xfId="0" applyFont="1" applyFill="1"/>
    <xf numFmtId="0" fontId="19" fillId="2" borderId="0" xfId="0" applyFont="1" applyFill="1" applyAlignment="1">
      <alignment horizontal="centerContinuous"/>
    </xf>
    <xf numFmtId="0" fontId="14" fillId="2" borderId="0" xfId="0" applyFont="1" applyFill="1" applyAlignment="1">
      <alignment horizontal="centerContinuous"/>
    </xf>
    <xf numFmtId="0" fontId="16" fillId="2" borderId="2" xfId="0" applyFont="1" applyFill="1" applyBorder="1"/>
    <xf numFmtId="9" fontId="6" fillId="2" borderId="0" xfId="0" applyNumberFormat="1" applyFont="1" applyFill="1"/>
    <xf numFmtId="173" fontId="14" fillId="2" borderId="0" xfId="3" applyNumberFormat="1" applyFill="1"/>
    <xf numFmtId="174" fontId="14" fillId="2" borderId="0" xfId="3" applyNumberFormat="1" applyFill="1"/>
    <xf numFmtId="0" fontId="21" fillId="2" borderId="0" xfId="0" applyFont="1" applyFill="1"/>
    <xf numFmtId="165" fontId="22" fillId="2" borderId="0" xfId="0" applyNumberFormat="1" applyFont="1" applyFill="1"/>
    <xf numFmtId="164" fontId="22" fillId="2" borderId="0" xfId="0" applyNumberFormat="1" applyFont="1" applyFill="1"/>
    <xf numFmtId="165" fontId="22" fillId="2" borderId="0" xfId="0" applyNumberFormat="1" applyFont="1" applyFill="1" applyAlignment="1">
      <alignment horizontal="right"/>
    </xf>
    <xf numFmtId="164" fontId="23" fillId="2" borderId="0" xfId="0" applyNumberFormat="1" applyFont="1" applyFill="1"/>
    <xf numFmtId="165" fontId="23" fillId="2" borderId="0" xfId="0" applyNumberFormat="1" applyFont="1" applyFill="1" applyAlignment="1">
      <alignment horizontal="right"/>
    </xf>
    <xf numFmtId="165" fontId="23" fillId="2" borderId="0" xfId="0" applyNumberFormat="1" applyFont="1" applyFill="1"/>
    <xf numFmtId="0" fontId="22" fillId="2" borderId="1" xfId="0" applyFont="1" applyFill="1" applyBorder="1"/>
    <xf numFmtId="41" fontId="7" fillId="2" borderId="0" xfId="4" applyFont="1" applyFill="1"/>
    <xf numFmtId="41" fontId="6" fillId="2" borderId="0" xfId="4" applyFont="1" applyFill="1"/>
    <xf numFmtId="41" fontId="6" fillId="2" borderId="0" xfId="0" applyNumberFormat="1" applyFont="1" applyFill="1"/>
    <xf numFmtId="0" fontId="6" fillId="2" borderId="0" xfId="0" applyFont="1" applyFill="1" applyAlignment="1">
      <alignment wrapText="1"/>
    </xf>
    <xf numFmtId="0" fontId="26" fillId="2" borderId="0" xfId="0" applyFont="1" applyFill="1"/>
    <xf numFmtId="1" fontId="6" fillId="2" borderId="0" xfId="0" applyNumberFormat="1" applyFont="1" applyFill="1"/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9" fontId="22" fillId="2" borderId="0" xfId="1" applyFont="1" applyFill="1" applyAlignment="1">
      <alignment horizontal="right"/>
    </xf>
    <xf numFmtId="3" fontId="22" fillId="2" borderId="0" xfId="0" applyNumberFormat="1" applyFont="1" applyFill="1" applyAlignment="1">
      <alignment horizontal="center"/>
    </xf>
    <xf numFmtId="0" fontId="13" fillId="0" borderId="0" xfId="0" applyFont="1"/>
    <xf numFmtId="3" fontId="6" fillId="2" borderId="0" xfId="0" applyNumberFormat="1" applyFont="1" applyFill="1" applyAlignment="1">
      <alignment horizontal="right"/>
    </xf>
    <xf numFmtId="0" fontId="14" fillId="2" borderId="0" xfId="0" applyFont="1" applyFill="1" applyAlignment="1">
      <alignment horizontal="right"/>
    </xf>
    <xf numFmtId="167" fontId="14" fillId="2" borderId="0" xfId="0" applyNumberFormat="1" applyFont="1" applyFill="1"/>
    <xf numFmtId="0" fontId="2" fillId="2" borderId="0" xfId="0" applyFont="1" applyFill="1"/>
    <xf numFmtId="0" fontId="28" fillId="2" borderId="0" xfId="0" applyFont="1" applyFill="1"/>
    <xf numFmtId="168" fontId="2" fillId="2" borderId="0" xfId="0" applyNumberFormat="1" applyFont="1" applyFill="1"/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4" fillId="0" borderId="0" xfId="2" applyFill="1"/>
    <xf numFmtId="0" fontId="29" fillId="2" borderId="0" xfId="0" applyFont="1" applyFill="1"/>
    <xf numFmtId="0" fontId="5" fillId="2" borderId="0" xfId="0" applyFont="1" applyFill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 wrapText="1"/>
    </xf>
    <xf numFmtId="0" fontId="6" fillId="0" borderId="0" xfId="0" applyFont="1"/>
    <xf numFmtId="164" fontId="6" fillId="0" borderId="0" xfId="0" applyNumberFormat="1" applyFont="1"/>
    <xf numFmtId="168" fontId="6" fillId="0" borderId="0" xfId="0" applyNumberFormat="1" applyFont="1"/>
    <xf numFmtId="165" fontId="6" fillId="0" borderId="0" xfId="0" applyNumberFormat="1" applyFont="1"/>
    <xf numFmtId="164" fontId="6" fillId="0" borderId="0" xfId="0" applyNumberFormat="1" applyFont="1" applyAlignment="1">
      <alignment horizontal="left" indent="1"/>
    </xf>
    <xf numFmtId="0" fontId="14" fillId="0" borderId="0" xfId="0" applyFont="1"/>
    <xf numFmtId="0" fontId="8" fillId="0" borderId="0" xfId="0" applyFont="1"/>
    <xf numFmtId="0" fontId="5" fillId="0" borderId="0" xfId="0" applyFont="1"/>
    <xf numFmtId="0" fontId="5" fillId="0" borderId="0" xfId="0" applyFont="1" applyAlignment="1">
      <alignment horizontal="center" wrapText="1"/>
    </xf>
    <xf numFmtId="0" fontId="6" fillId="0" borderId="1" xfId="0" applyFont="1" applyBorder="1"/>
    <xf numFmtId="167" fontId="7" fillId="0" borderId="0" xfId="0" applyNumberFormat="1" applyFont="1"/>
    <xf numFmtId="172" fontId="7" fillId="0" borderId="0" xfId="1" applyNumberFormat="1" applyFont="1" applyFill="1"/>
    <xf numFmtId="164" fontId="7" fillId="0" borderId="0" xfId="0" applyNumberFormat="1" applyFont="1" applyAlignment="1">
      <alignment horizontal="left" indent="1"/>
    </xf>
    <xf numFmtId="164" fontId="6" fillId="0" borderId="0" xfId="0" applyNumberFormat="1" applyFont="1" applyAlignment="1">
      <alignment horizontal="left" indent="2"/>
    </xf>
    <xf numFmtId="167" fontId="6" fillId="0" borderId="0" xfId="0" applyNumberFormat="1" applyFont="1"/>
    <xf numFmtId="172" fontId="6" fillId="0" borderId="0" xfId="1" applyNumberFormat="1" applyFont="1" applyFill="1"/>
    <xf numFmtId="164" fontId="6" fillId="0" borderId="0" xfId="0" applyNumberFormat="1" applyFont="1" applyAlignment="1">
      <alignment horizontal="left" indent="3"/>
    </xf>
    <xf numFmtId="0" fontId="6" fillId="0" borderId="1" xfId="0" applyFont="1" applyBorder="1" applyAlignment="1">
      <alignment horizontal="center"/>
    </xf>
    <xf numFmtId="165" fontId="6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6" fillId="0" borderId="1" xfId="0" applyFont="1" applyBorder="1"/>
    <xf numFmtId="0" fontId="16" fillId="0" borderId="0" xfId="0" applyFont="1"/>
    <xf numFmtId="9" fontId="22" fillId="0" borderId="0" xfId="1" applyFont="1" applyAlignment="1">
      <alignment horizontal="right"/>
    </xf>
    <xf numFmtId="3" fontId="22" fillId="0" borderId="0" xfId="0" applyNumberFormat="1" applyFont="1"/>
    <xf numFmtId="165" fontId="7" fillId="0" borderId="0" xfId="0" applyNumberFormat="1" applyFont="1" applyAlignment="1">
      <alignment horizontal="right"/>
    </xf>
    <xf numFmtId="3" fontId="7" fillId="0" borderId="0" xfId="0" applyNumberFormat="1" applyFont="1"/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left" indent="1"/>
    </xf>
    <xf numFmtId="3" fontId="15" fillId="0" borderId="0" xfId="0" applyNumberFormat="1" applyFont="1"/>
    <xf numFmtId="0" fontId="7" fillId="0" borderId="0" xfId="0" applyFont="1"/>
    <xf numFmtId="166" fontId="6" fillId="0" borderId="0" xfId="0" applyNumberFormat="1" applyFont="1"/>
    <xf numFmtId="168" fontId="7" fillId="0" borderId="0" xfId="0" applyNumberFormat="1" applyFont="1"/>
    <xf numFmtId="0" fontId="2" fillId="0" borderId="1" xfId="0" applyFont="1" applyBorder="1"/>
    <xf numFmtId="168" fontId="6" fillId="0" borderId="0" xfId="0" applyNumberFormat="1" applyFont="1" applyAlignment="1">
      <alignment horizontal="right"/>
    </xf>
    <xf numFmtId="168" fontId="7" fillId="0" borderId="0" xfId="0" applyNumberFormat="1" applyFont="1" applyAlignment="1">
      <alignment horizontal="right"/>
    </xf>
    <xf numFmtId="172" fontId="7" fillId="0" borderId="0" xfId="1" applyNumberFormat="1" applyFont="1" applyFill="1" applyAlignment="1">
      <alignment horizontal="right" indent="1"/>
    </xf>
    <xf numFmtId="172" fontId="7" fillId="0" borderId="0" xfId="1" applyNumberFormat="1" applyFont="1" applyFill="1" applyBorder="1" applyAlignment="1">
      <alignment horizontal="right" indent="1"/>
    </xf>
    <xf numFmtId="1" fontId="6" fillId="0" borderId="0" xfId="0" applyNumberFormat="1" applyFont="1" applyAlignment="1">
      <alignment horizontal="right"/>
    </xf>
    <xf numFmtId="164" fontId="6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165" fontId="7" fillId="0" borderId="0" xfId="0" applyNumberFormat="1" applyFont="1"/>
    <xf numFmtId="0" fontId="16" fillId="0" borderId="3" xfId="0" applyFont="1" applyBorder="1"/>
    <xf numFmtId="0" fontId="6" fillId="0" borderId="3" xfId="0" applyFont="1" applyBorder="1"/>
    <xf numFmtId="0" fontId="31" fillId="2" borderId="0" xfId="0" applyFont="1" applyFill="1"/>
    <xf numFmtId="0" fontId="16" fillId="2" borderId="0" xfId="0" applyFont="1" applyFill="1" applyAlignment="1">
      <alignment horizontal="centerContinuous"/>
    </xf>
    <xf numFmtId="0" fontId="5" fillId="0" borderId="0" xfId="0" applyFont="1" applyAlignment="1">
      <alignment horizontal="center"/>
    </xf>
    <xf numFmtId="165" fontId="6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right"/>
    </xf>
    <xf numFmtId="0" fontId="5" fillId="2" borderId="1" xfId="0" applyFont="1" applyFill="1" applyBorder="1" applyAlignment="1">
      <alignment horizontal="right" wrapText="1"/>
    </xf>
    <xf numFmtId="175" fontId="6" fillId="0" borderId="0" xfId="0" applyNumberFormat="1" applyFont="1"/>
    <xf numFmtId="172" fontId="7" fillId="0" borderId="0" xfId="0" applyNumberFormat="1" applyFont="1" applyAlignment="1">
      <alignment horizontal="center"/>
    </xf>
    <xf numFmtId="43" fontId="6" fillId="0" borderId="0" xfId="0" quotePrefix="1" applyNumberFormat="1" applyFont="1" applyAlignment="1">
      <alignment horizontal="center"/>
    </xf>
    <xf numFmtId="174" fontId="6" fillId="0" borderId="0" xfId="0" applyNumberFormat="1" applyFont="1"/>
    <xf numFmtId="0" fontId="12" fillId="0" borderId="0" xfId="0" applyFont="1"/>
    <xf numFmtId="171" fontId="7" fillId="0" borderId="0" xfId="0" applyNumberFormat="1" applyFont="1"/>
    <xf numFmtId="166" fontId="7" fillId="0" borderId="0" xfId="0" applyNumberFormat="1" applyFont="1" applyAlignment="1">
      <alignment horizontal="right"/>
    </xf>
    <xf numFmtId="171" fontId="6" fillId="0" borderId="0" xfId="0" applyNumberFormat="1" applyFont="1" applyAlignment="1">
      <alignment horizontal="left" indent="1"/>
    </xf>
    <xf numFmtId="49" fontId="7" fillId="0" borderId="0" xfId="0" applyNumberFormat="1" applyFont="1"/>
    <xf numFmtId="49" fontId="6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3" fontId="7" fillId="0" borderId="0" xfId="0" applyNumberFormat="1" applyFont="1" applyAlignment="1">
      <alignment horizontal="right"/>
    </xf>
    <xf numFmtId="9" fontId="7" fillId="0" borderId="0" xfId="0" applyNumberFormat="1" applyFont="1" applyAlignment="1">
      <alignment horizontal="center"/>
    </xf>
    <xf numFmtId="9" fontId="7" fillId="0" borderId="0" xfId="0" applyNumberFormat="1" applyFont="1" applyAlignment="1">
      <alignment horizontal="right"/>
    </xf>
    <xf numFmtId="174" fontId="7" fillId="0" borderId="0" xfId="0" applyNumberFormat="1" applyFont="1"/>
    <xf numFmtId="0" fontId="5" fillId="2" borderId="1" xfId="0" applyFont="1" applyFill="1" applyBorder="1" applyAlignment="1">
      <alignment horizontal="center" wrapText="1"/>
    </xf>
    <xf numFmtId="0" fontId="3" fillId="0" borderId="0" xfId="0" applyFont="1" applyFill="1"/>
    <xf numFmtId="0" fontId="5" fillId="0" borderId="1" xfId="0" applyFont="1" applyBorder="1" applyAlignment="1">
      <alignment wrapText="1"/>
    </xf>
    <xf numFmtId="0" fontId="6" fillId="0" borderId="3" xfId="0" applyFont="1" applyBorder="1" applyAlignment="1">
      <alignment horizontal="center"/>
    </xf>
    <xf numFmtId="0" fontId="15" fillId="0" borderId="0" xfId="0" applyFont="1"/>
    <xf numFmtId="165" fontId="6" fillId="0" borderId="0" xfId="0" applyNumberFormat="1" applyFont="1" applyAlignment="1">
      <alignment horizontal="right" indent="1"/>
    </xf>
    <xf numFmtId="172" fontId="6" fillId="0" borderId="0" xfId="1" applyNumberFormat="1" applyFont="1" applyFill="1" applyAlignment="1">
      <alignment horizontal="right" indent="1"/>
    </xf>
    <xf numFmtId="164" fontId="7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169" fontId="7" fillId="0" borderId="0" xfId="1" applyNumberFormat="1" applyFont="1" applyFill="1" applyAlignment="1">
      <alignment horizontal="center"/>
    </xf>
    <xf numFmtId="169" fontId="6" fillId="0" borderId="0" xfId="1" applyNumberFormat="1" applyFont="1" applyFill="1" applyAlignment="1">
      <alignment horizontal="center"/>
    </xf>
    <xf numFmtId="0" fontId="5" fillId="0" borderId="0" xfId="0" applyFont="1" applyAlignment="1">
      <alignment horizontal="right" wrapText="1"/>
    </xf>
    <xf numFmtId="176" fontId="6" fillId="0" borderId="0" xfId="4" applyNumberFormat="1" applyFont="1"/>
    <xf numFmtId="177" fontId="6" fillId="0" borderId="1" xfId="0" applyNumberFormat="1" applyFont="1" applyBorder="1"/>
    <xf numFmtId="0" fontId="33" fillId="0" borderId="1" xfId="0" applyFont="1" applyBorder="1"/>
    <xf numFmtId="0" fontId="33" fillId="0" borderId="1" xfId="0" applyFont="1" applyBorder="1" applyAlignment="1">
      <alignment horizontal="center" wrapText="1"/>
    </xf>
    <xf numFmtId="0" fontId="34" fillId="0" borderId="0" xfId="0" applyFont="1"/>
    <xf numFmtId="164" fontId="13" fillId="0" borderId="0" xfId="0" applyNumberFormat="1" applyFont="1"/>
    <xf numFmtId="164" fontId="13" fillId="0" borderId="0" xfId="0" applyNumberFormat="1" applyFont="1" applyAlignment="1">
      <alignment horizontal="left"/>
    </xf>
    <xf numFmtId="9" fontId="6" fillId="0" borderId="0" xfId="0" applyNumberFormat="1" applyFont="1"/>
    <xf numFmtId="0" fontId="6" fillId="0" borderId="0" xfId="0" applyFont="1" applyAlignment="1">
      <alignment horizontal="right"/>
    </xf>
    <xf numFmtId="49" fontId="6" fillId="0" borderId="0" xfId="0" applyNumberFormat="1" applyFont="1" applyAlignment="1">
      <alignment horizontal="right"/>
    </xf>
    <xf numFmtId="0" fontId="5" fillId="0" borderId="1" xfId="0" applyFont="1" applyBorder="1" applyAlignment="1">
      <alignment horizontal="right" wrapText="1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vertical="center"/>
    </xf>
    <xf numFmtId="1" fontId="7" fillId="0" borderId="0" xfId="0" applyNumberFormat="1" applyFont="1" applyAlignment="1">
      <alignment horizontal="right" vertical="center"/>
    </xf>
    <xf numFmtId="1" fontId="7" fillId="0" borderId="0" xfId="0" applyNumberFormat="1" applyFont="1" applyAlignment="1">
      <alignment vertical="center"/>
    </xf>
    <xf numFmtId="0" fontId="20" fillId="0" borderId="0" xfId="0" applyFont="1"/>
    <xf numFmtId="168" fontId="8" fillId="0" borderId="0" xfId="0" applyNumberFormat="1" applyFont="1"/>
    <xf numFmtId="164" fontId="15" fillId="0" borderId="0" xfId="0" applyNumberFormat="1" applyFont="1" applyAlignment="1">
      <alignment horizontal="left" indent="2"/>
    </xf>
    <xf numFmtId="164" fontId="36" fillId="0" borderId="0" xfId="0" applyNumberFormat="1" applyFont="1"/>
    <xf numFmtId="168" fontId="36" fillId="0" borderId="0" xfId="0" applyNumberFormat="1" applyFont="1"/>
    <xf numFmtId="164" fontId="13" fillId="0" borderId="0" xfId="0" applyNumberFormat="1" applyFont="1" applyAlignment="1">
      <alignment horizontal="left" indent="1"/>
    </xf>
    <xf numFmtId="168" fontId="13" fillId="0" borderId="0" xfId="0" applyNumberFormat="1" applyFont="1"/>
    <xf numFmtId="0" fontId="16" fillId="0" borderId="4" xfId="0" applyFont="1" applyBorder="1"/>
    <xf numFmtId="0" fontId="34" fillId="0" borderId="4" xfId="0" applyFont="1" applyBorder="1"/>
    <xf numFmtId="167" fontId="37" fillId="0" borderId="0" xfId="0" applyNumberFormat="1" applyFont="1"/>
    <xf numFmtId="165" fontId="36" fillId="0" borderId="0" xfId="0" applyNumberFormat="1" applyFont="1"/>
    <xf numFmtId="0" fontId="5" fillId="2" borderId="1" xfId="0" applyFont="1" applyFill="1" applyBorder="1" applyAlignment="1">
      <alignment horizontal="center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24" fillId="2" borderId="0" xfId="0" applyFont="1" applyFill="1" applyAlignment="1">
      <alignment horizontal="left" vertical="top" wrapText="1"/>
    </xf>
    <xf numFmtId="0" fontId="13" fillId="2" borderId="3" xfId="0" applyFont="1" applyFill="1" applyBorder="1" applyAlignment="1">
      <alignment horizontal="left" wrapText="1"/>
    </xf>
    <xf numFmtId="0" fontId="13" fillId="0" borderId="3" xfId="0" applyFont="1" applyBorder="1" applyAlignment="1">
      <alignment horizontal="left" wrapText="1"/>
    </xf>
    <xf numFmtId="0" fontId="13" fillId="2" borderId="0" xfId="0" applyFont="1" applyFill="1" applyAlignment="1">
      <alignment horizontal="left" wrapText="1"/>
    </xf>
    <xf numFmtId="0" fontId="13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35" fillId="0" borderId="0" xfId="0" applyFont="1" applyAlignment="1">
      <alignment horizontal="center" vertical="center"/>
    </xf>
    <xf numFmtId="169" fontId="6" fillId="0" borderId="0" xfId="4" applyNumberFormat="1" applyFont="1"/>
    <xf numFmtId="169" fontId="6" fillId="0" borderId="0" xfId="0" applyNumberFormat="1" applyFont="1"/>
    <xf numFmtId="169" fontId="7" fillId="0" borderId="0" xfId="4" applyNumberFormat="1" applyFont="1"/>
  </cellXfs>
  <cellStyles count="5">
    <cellStyle name="Comma [0]" xfId="4" builtinId="6"/>
    <cellStyle name="Hyperlink" xfId="2" builtinId="8"/>
    <cellStyle name="Normal" xfId="0" builtinId="0"/>
    <cellStyle name="Normal 2" xfId="3" xr:uid="{DA52BD8D-5C05-4DC0-ABDA-9C6CFDF8063F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1647097</xdr:colOff>
      <xdr:row>11</xdr:row>
      <xdr:rowOff>112305</xdr:rowOff>
    </xdr:from>
    <xdr:to>
      <xdr:col>0</xdr:col>
      <xdr:colOff>1842498</xdr:colOff>
      <xdr:row>13</xdr:row>
      <xdr:rowOff>125278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BD31E74-F374-4C80-B52E-B0BC91E69A00}"/>
            </a:ext>
          </a:extLst>
        </xdr:cNvPr>
        <xdr:cNvSpPr/>
      </xdr:nvSpPr>
      <xdr:spPr>
        <a:xfrm>
          <a:off x="1647097" y="1941105"/>
          <a:ext cx="195401" cy="34825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s-IS" sz="900" baseline="30000">
              <a:solidFill>
                <a:schemeClr val="tx1"/>
              </a:solidFill>
              <a:latin typeface="FiraGO Light" panose="020B0403050000020004" pitchFamily="34" charset="0"/>
              <a:cs typeface="FiraGO Light" panose="020B0403050000020004" pitchFamily="34" charset="0"/>
            </a:rPr>
            <a:t>2</a:t>
          </a:r>
          <a:endParaRPr sz="900" baseline="30000">
            <a:solidFill>
              <a:schemeClr val="tx1"/>
            </a:solidFill>
            <a:latin typeface="FiraGO Light" panose="020B0403050000020004" pitchFamily="34" charset="0"/>
            <a:cs typeface="FiraGO Light" panose="020B0403050000020004" pitchFamily="34" charset="0"/>
          </a:endParaRPr>
        </a:p>
      </xdr:txBody>
    </xdr:sp>
    <xdr:clientData/>
  </xdr:twoCellAnchor>
  <xdr:twoCellAnchor>
    <xdr:from>
      <xdr:col>0</xdr:col>
      <xdr:colOff>1769561</xdr:colOff>
      <xdr:row>11</xdr:row>
      <xdr:rowOff>92348</xdr:rowOff>
    </xdr:from>
    <xdr:to>
      <xdr:col>0</xdr:col>
      <xdr:colOff>1960427</xdr:colOff>
      <xdr:row>13</xdr:row>
      <xdr:rowOff>116205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9F75470A-07FF-452F-8493-E7E1D6638407}"/>
            </a:ext>
          </a:extLst>
        </xdr:cNvPr>
        <xdr:cNvSpPr/>
      </xdr:nvSpPr>
      <xdr:spPr>
        <a:xfrm>
          <a:off x="1769561" y="1902098"/>
          <a:ext cx="190866" cy="35405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s-IS" sz="900" baseline="30000">
              <a:solidFill>
                <a:schemeClr val="tx1"/>
              </a:solidFill>
              <a:latin typeface="FiraGO Light" panose="020B0403050000020004" pitchFamily="34" charset="0"/>
              <a:cs typeface="FiraGO Light" panose="020B0403050000020004" pitchFamily="34" charset="0"/>
            </a:rPr>
            <a:t>2</a:t>
          </a:r>
          <a:endParaRPr sz="900" baseline="30000">
            <a:solidFill>
              <a:schemeClr val="tx1"/>
            </a:solidFill>
            <a:latin typeface="FiraGO Light" panose="020B0403050000020004" pitchFamily="34" charset="0"/>
            <a:cs typeface="FiraGO Light" panose="020B04030500000200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Rikisfjarmal\Fjarlog\2026\Lagagrein%201-GFS%20fj&#225;rstreymisyfirlit%202026-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j&#225;rlagarit%20og%20&#250;tg&#225;fa/Fj&#225;rl&#246;g/2026/1.%20umr&#230;&#240;a/5-T07-Samninga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Rikisfjarmal\Fjarlog\2026\Samst&#230;&#240;uuppgj&#246;r%20A1%20A2%20og%20A3\Samst&#230;&#240;uuppgj&#246;r%20A1%20A2%20og%20A3_fj&#225;rm&#225;la&#225;&#230;tlun%202026-2030-4%20&#205;L-sj&#243;&#240;ur%20frv.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Fj&#225;rlagarit%20og%20&#250;tg&#225;fa/Fj&#225;rl&#246;g/2026/1.%20umr&#230;&#240;a/Tafla%2010-Rekstraryfirlit%20A%20hluti%20r&#237;kissj&#243;&#240;s%20&#237;%20heild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j&#225;rlagarit%20og%20&#250;tg&#225;fa/Fj&#225;rl&#246;g/2026/1.%20umr&#230;&#240;a/Tafla%2002-Sj&#243;&#240;streym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firlit afkomu"/>
      <sheetName val="Yfirlit tekna"/>
      <sheetName val="Yfirlit gjalda"/>
      <sheetName val="Tekjugrunnur"/>
      <sheetName val="Útgjaldagrunnur fyrirspurn"/>
      <sheetName val="Pivot f. stöðugleikareglu"/>
      <sheetName val="Gjöld_vörpun"/>
      <sheetName val="Gjöld_samlagning"/>
      <sheetName val="Aðlaganir"/>
      <sheetName val="Fyrirspurn í fjárlagagrunn"/>
      <sheetName val="Pivot í fyrirspurn"/>
      <sheetName val="Tekjuáætlun load"/>
      <sheetName val="Tekjuáætlun load 2 umr"/>
      <sheetName val="Tekjuáætlun load 3 umr"/>
      <sheetName val="Lyklar2026"/>
      <sheetName val="Stöðugleikaregla"/>
      <sheetName val="Lagagr 3 load"/>
      <sheetName val="Lagagr 3"/>
    </sheetNames>
    <sheetDataSet>
      <sheetData sheetId="0">
        <row r="3">
          <cell r="C3">
            <v>1564600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">
          <cell r="B4">
            <v>1545.6395</v>
          </cell>
          <cell r="C4">
            <v>1628.6646999999996</v>
          </cell>
        </row>
        <row r="6">
          <cell r="B6">
            <v>101.6</v>
          </cell>
          <cell r="C6">
            <v>125.38860000000001</v>
          </cell>
        </row>
        <row r="7">
          <cell r="B7">
            <v>79.0672</v>
          </cell>
          <cell r="C7">
            <v>80.899600000000007</v>
          </cell>
        </row>
        <row r="8">
          <cell r="B8">
            <v>70.003</v>
          </cell>
          <cell r="C8">
            <v>86.389499999999998</v>
          </cell>
        </row>
        <row r="9">
          <cell r="B9">
            <v>35.581499999999991</v>
          </cell>
          <cell r="C9">
            <v>35.492700000000006</v>
          </cell>
        </row>
        <row r="10">
          <cell r="B10">
            <v>32.207000000000001</v>
          </cell>
          <cell r="C10">
            <v>34.087000000000003</v>
          </cell>
        </row>
        <row r="11">
          <cell r="B11">
            <v>6.51</v>
          </cell>
          <cell r="C11">
            <v>7.1881000000000004</v>
          </cell>
        </row>
        <row r="12">
          <cell r="B12">
            <v>0.11</v>
          </cell>
          <cell r="C12">
            <v>0.11</v>
          </cell>
        </row>
        <row r="13">
          <cell r="B13">
            <v>1220.5608</v>
          </cell>
          <cell r="C13">
            <v>1259.1091999999994</v>
          </cell>
        </row>
        <row r="14">
          <cell r="C14">
            <v>3.1582531570733208E-2</v>
          </cell>
        </row>
        <row r="15">
          <cell r="C15">
            <v>38.548399999999447</v>
          </cell>
        </row>
        <row r="16">
          <cell r="C16">
            <v>14.621705426356584</v>
          </cell>
        </row>
        <row r="17">
          <cell r="C17">
            <v>23.926694573642862</v>
          </cell>
        </row>
        <row r="18">
          <cell r="C18">
            <v>1.960303376418681E-2</v>
          </cell>
        </row>
      </sheetData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fla 2025"/>
      <sheetName val="Tafla 2024"/>
      <sheetName val="Tafla 2023"/>
      <sheetName val="Gögn 2025"/>
      <sheetName val="Gögn 2024"/>
      <sheetName val="Sheet2"/>
    </sheetNames>
    <sheetDataSet>
      <sheetData sheetId="0" refreshError="1"/>
      <sheetData sheetId="1" refreshError="1"/>
      <sheetData sheetId="2" refreshError="1"/>
      <sheetData sheetId="3">
        <row r="10">
          <cell r="B10">
            <v>1363078</v>
          </cell>
          <cell r="C10">
            <v>1418801</v>
          </cell>
        </row>
      </sheetData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psett Allir"/>
      <sheetName val="Tafla"/>
      <sheetName val="Tafla samantekt"/>
    </sheetNames>
    <sheetDataSet>
      <sheetData sheetId="0">
        <row r="5">
          <cell r="CC5">
            <v>1539337.0389420856</v>
          </cell>
          <cell r="CD5">
            <v>30385.918850000002</v>
          </cell>
          <cell r="CE5">
            <v>55939.965000000004</v>
          </cell>
          <cell r="CF5">
            <v>-42565.602059671117</v>
          </cell>
          <cell r="CG5">
            <v>1583097.3207324145</v>
          </cell>
        </row>
        <row r="6">
          <cell r="CC6">
            <v>1462323.4943999997</v>
          </cell>
          <cell r="CD6">
            <v>29740.986280000001</v>
          </cell>
          <cell r="CE6">
            <v>50010.968000000001</v>
          </cell>
          <cell r="CF6">
            <v>-42565.602059671117</v>
          </cell>
          <cell r="CG6">
            <v>1499509.8466203287</v>
          </cell>
        </row>
        <row r="7">
          <cell r="CC7">
            <v>77013.544542085845</v>
          </cell>
          <cell r="CD7">
            <v>644.93257000000085</v>
          </cell>
          <cell r="CE7">
            <v>5928.997000000003</v>
          </cell>
          <cell r="CF7">
            <v>0</v>
          </cell>
          <cell r="CG7">
            <v>83587.474112085765</v>
          </cell>
        </row>
        <row r="8">
          <cell r="CC8">
            <v>1.4717818182842242E-2</v>
          </cell>
          <cell r="CD8">
            <v>1.2325105099228443E-4</v>
          </cell>
          <cell r="CE8">
            <v>1.1330721157098652E-3</v>
          </cell>
          <cell r="CF8">
            <v>0</v>
          </cell>
          <cell r="CG8">
            <v>1.5974141349544377E-2</v>
          </cell>
        </row>
        <row r="9">
          <cell r="CC9">
            <v>51909.185613928377</v>
          </cell>
          <cell r="CD9">
            <v>28078.623</v>
          </cell>
          <cell r="CE9">
            <v>844.98</v>
          </cell>
          <cell r="CF9">
            <v>-21655.605862473643</v>
          </cell>
          <cell r="CG9">
            <v>59177.182751454733</v>
          </cell>
        </row>
        <row r="10">
          <cell r="CC10">
            <v>144259.36636747679</v>
          </cell>
          <cell r="CD10">
            <v>28151.171340000001</v>
          </cell>
          <cell r="CE10">
            <v>9294.7800000000007</v>
          </cell>
          <cell r="CF10">
            <v>-21655.605862473643</v>
          </cell>
          <cell r="CG10">
            <v>160049.71184500316</v>
          </cell>
        </row>
        <row r="11">
          <cell r="CC11">
            <v>-92350.180753548411</v>
          </cell>
          <cell r="CD11">
            <v>-72.54834000000119</v>
          </cell>
          <cell r="CE11">
            <v>-8449.8000000000011</v>
          </cell>
          <cell r="CF11">
            <v>0</v>
          </cell>
          <cell r="CG11">
            <v>-100872.52909354842</v>
          </cell>
        </row>
        <row r="12">
          <cell r="CC12">
            <v>-1.7648754872470255E-2</v>
          </cell>
          <cell r="CD12">
            <v>-1.3864486876117486E-5</v>
          </cell>
          <cell r="CE12">
            <v>-1.6148149110760581E-3</v>
          </cell>
          <cell r="CF12">
            <v>0</v>
          </cell>
          <cell r="CG12">
            <v>-1.9277434270422431E-2</v>
          </cell>
        </row>
        <row r="13">
          <cell r="CC13">
            <v>1591246.2245560139</v>
          </cell>
          <cell r="CD13">
            <v>58464.541850000001</v>
          </cell>
          <cell r="CE13">
            <v>56784.945000000007</v>
          </cell>
          <cell r="CF13">
            <v>-64221.207922144764</v>
          </cell>
          <cell r="CG13">
            <v>1642274.5034838691</v>
          </cell>
        </row>
        <row r="14">
          <cell r="CC14">
            <v>1606582.8607674765</v>
          </cell>
          <cell r="CD14">
            <v>57892.157619999998</v>
          </cell>
          <cell r="CE14">
            <v>59305.748</v>
          </cell>
          <cell r="CF14">
            <v>-64221.207922144757</v>
          </cell>
          <cell r="CG14">
            <v>1659559.5584653316</v>
          </cell>
        </row>
        <row r="15">
          <cell r="CC15">
            <v>-15336.636211462552</v>
          </cell>
          <cell r="CD15">
            <v>572.3842300000033</v>
          </cell>
          <cell r="CE15">
            <v>-2520.8029999999926</v>
          </cell>
          <cell r="CF15">
            <v>0</v>
          </cell>
          <cell r="CG15">
            <v>-17285.054981462425</v>
          </cell>
        </row>
        <row r="16">
          <cell r="CC16">
            <v>-2.9309366896280091E-3</v>
          </cell>
          <cell r="CD16">
            <v>1.0938656411616762E-4</v>
          </cell>
          <cell r="CE16">
            <v>-4.8174279536619186E-4</v>
          </cell>
          <cell r="CF16">
            <v>0</v>
          </cell>
          <cell r="CG16">
            <v>-3.3032929208780108E-3</v>
          </cell>
        </row>
      </sheetData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fla"/>
    </sheetNames>
    <sheetDataSet>
      <sheetData sheetId="0" refreshError="1">
        <row r="3">
          <cell r="C3" t="str">
            <v>Reikn.
2023</v>
          </cell>
          <cell r="D3" t="str">
            <v>Brb.
2024</v>
          </cell>
          <cell r="E3" t="str">
            <v>Horfur
2025</v>
          </cell>
          <cell r="F3" t="str">
            <v>Frumvarp
2026</v>
          </cell>
        </row>
        <row r="5">
          <cell r="C5">
            <v>1366080</v>
          </cell>
          <cell r="D5">
            <v>1445210</v>
          </cell>
          <cell r="E5">
            <v>1563928.6745155677</v>
          </cell>
          <cell r="F5">
            <v>1642274.5034838691</v>
          </cell>
        </row>
        <row r="6">
          <cell r="C6">
            <v>998617</v>
          </cell>
          <cell r="D6">
            <v>1091828</v>
          </cell>
          <cell r="E6">
            <v>1167191.5000000002</v>
          </cell>
          <cell r="F6">
            <v>1236608.8389420856</v>
          </cell>
        </row>
        <row r="7">
          <cell r="C7">
            <v>463737</v>
          </cell>
          <cell r="D7">
            <v>480720</v>
          </cell>
          <cell r="E7">
            <v>525100</v>
          </cell>
          <cell r="F7">
            <v>549500</v>
          </cell>
        </row>
        <row r="8">
          <cell r="C8">
            <v>11563</v>
          </cell>
          <cell r="D8">
            <v>11891</v>
          </cell>
          <cell r="E8">
            <v>13030</v>
          </cell>
          <cell r="F8">
            <v>13926</v>
          </cell>
        </row>
        <row r="9">
          <cell r="C9">
            <v>13670</v>
          </cell>
          <cell r="D9">
            <v>15195</v>
          </cell>
          <cell r="E9">
            <v>15527</v>
          </cell>
          <cell r="F9">
            <v>14327</v>
          </cell>
        </row>
        <row r="10">
          <cell r="C10">
            <v>487688</v>
          </cell>
          <cell r="D10">
            <v>560924</v>
          </cell>
          <cell r="E10">
            <v>588214.60000000009</v>
          </cell>
          <cell r="F10">
            <v>632186.63894208579</v>
          </cell>
        </row>
        <row r="11">
          <cell r="C11">
            <v>6155</v>
          </cell>
          <cell r="D11">
            <v>6664</v>
          </cell>
          <cell r="E11">
            <v>7419.8</v>
          </cell>
          <cell r="F11">
            <v>7170.4</v>
          </cell>
        </row>
        <row r="12">
          <cell r="C12">
            <v>15804</v>
          </cell>
          <cell r="D12">
            <v>16434</v>
          </cell>
          <cell r="E12">
            <v>17900.099999999999</v>
          </cell>
          <cell r="F12">
            <v>19498.8</v>
          </cell>
        </row>
        <row r="13">
          <cell r="C13">
            <v>131613</v>
          </cell>
          <cell r="D13">
            <v>136982</v>
          </cell>
          <cell r="E13">
            <v>151726</v>
          </cell>
          <cell r="F13">
            <v>159923</v>
          </cell>
        </row>
        <row r="14">
          <cell r="C14">
            <v>8146</v>
          </cell>
          <cell r="D14">
            <v>10383</v>
          </cell>
          <cell r="E14">
            <v>7679.2000000000007</v>
          </cell>
          <cell r="F14">
            <v>8085</v>
          </cell>
        </row>
        <row r="15">
          <cell r="C15">
            <v>626</v>
          </cell>
          <cell r="D15">
            <v>1841</v>
          </cell>
          <cell r="E15">
            <v>4219</v>
          </cell>
          <cell r="F15">
            <v>4429.1000000000004</v>
          </cell>
        </row>
        <row r="16">
          <cell r="C16">
            <v>4822</v>
          </cell>
          <cell r="D16">
            <v>5582</v>
          </cell>
          <cell r="E16">
            <v>0</v>
          </cell>
          <cell r="F16">
            <v>0</v>
          </cell>
        </row>
        <row r="17">
          <cell r="C17">
            <v>2698</v>
          </cell>
          <cell r="D17">
            <v>2960</v>
          </cell>
          <cell r="E17">
            <v>3460.2000000000003</v>
          </cell>
          <cell r="F17">
            <v>3655.9</v>
          </cell>
        </row>
        <row r="18">
          <cell r="C18">
            <v>227704</v>
          </cell>
          <cell r="D18">
            <v>206017</v>
          </cell>
          <cell r="E18">
            <v>237331.97451556762</v>
          </cell>
          <cell r="F18">
            <v>237657.66454178363</v>
          </cell>
        </row>
        <row r="19">
          <cell r="C19">
            <v>151392</v>
          </cell>
          <cell r="D19">
            <v>128552</v>
          </cell>
          <cell r="E19">
            <v>144176.31721958838</v>
          </cell>
          <cell r="F19">
            <v>140245.58275145473</v>
          </cell>
        </row>
        <row r="20">
          <cell r="C20">
            <v>101844</v>
          </cell>
          <cell r="D20">
            <v>63156</v>
          </cell>
          <cell r="E20">
            <v>77609.61721958837</v>
          </cell>
          <cell r="F20">
            <v>59177.182751454733</v>
          </cell>
        </row>
        <row r="21">
          <cell r="C21">
            <v>37799</v>
          </cell>
          <cell r="D21">
            <v>53695</v>
          </cell>
          <cell r="E21">
            <v>53818</v>
          </cell>
          <cell r="F21">
            <v>56822</v>
          </cell>
        </row>
        <row r="22">
          <cell r="C22">
            <v>58344</v>
          </cell>
          <cell r="D22">
            <v>61845</v>
          </cell>
          <cell r="E22">
            <v>66525.313046919357</v>
          </cell>
          <cell r="F22">
            <v>69393.956351228728</v>
          </cell>
        </row>
        <row r="23">
          <cell r="C23">
            <v>17968</v>
          </cell>
          <cell r="D23">
            <v>15620</v>
          </cell>
          <cell r="E23">
            <v>26630.344249059894</v>
          </cell>
          <cell r="F23">
            <v>28018.125439100164</v>
          </cell>
        </row>
        <row r="24">
          <cell r="C24">
            <v>1432217</v>
          </cell>
          <cell r="D24">
            <v>1577816</v>
          </cell>
          <cell r="E24">
            <v>1587405.4984752072</v>
          </cell>
          <cell r="F24">
            <v>1659559.558465332</v>
          </cell>
        </row>
        <row r="25">
          <cell r="C25">
            <v>1419399</v>
          </cell>
          <cell r="D25">
            <v>1566980</v>
          </cell>
          <cell r="E25">
            <v>1577669.391423627</v>
          </cell>
          <cell r="F25">
            <v>1637080.9556760946</v>
          </cell>
        </row>
        <row r="26">
          <cell r="C26">
            <v>291351</v>
          </cell>
          <cell r="D26">
            <v>313514</v>
          </cell>
          <cell r="E26">
            <v>354202.48820052639</v>
          </cell>
          <cell r="F26">
            <v>368394.86452234641</v>
          </cell>
        </row>
        <row r="27">
          <cell r="C27">
            <v>218537</v>
          </cell>
          <cell r="D27">
            <v>231049</v>
          </cell>
          <cell r="E27">
            <v>248409.04907022655</v>
          </cell>
          <cell r="F27">
            <v>261772.79751233192</v>
          </cell>
        </row>
        <row r="28">
          <cell r="C28">
            <v>87655</v>
          </cell>
          <cell r="D28">
            <v>94779</v>
          </cell>
          <cell r="E28">
            <v>94715.110468720639</v>
          </cell>
          <cell r="F28">
            <v>97745.994003719694</v>
          </cell>
        </row>
        <row r="29">
          <cell r="C29">
            <v>210172</v>
          </cell>
          <cell r="D29">
            <v>174766</v>
          </cell>
          <cell r="E29">
            <v>169750.09457756131</v>
          </cell>
          <cell r="F29">
            <v>160049.71184500316</v>
          </cell>
        </row>
        <row r="30">
          <cell r="C30">
            <v>61140</v>
          </cell>
          <cell r="D30">
            <v>70972</v>
          </cell>
          <cell r="E30">
            <v>74516.098720771421</v>
          </cell>
          <cell r="F30">
            <v>72392.215277021067</v>
          </cell>
        </row>
        <row r="31">
          <cell r="C31">
            <v>448738</v>
          </cell>
          <cell r="D31">
            <v>491842</v>
          </cell>
          <cell r="E31">
            <v>525520.43649173563</v>
          </cell>
          <cell r="F31">
            <v>565840.70769137656</v>
          </cell>
        </row>
        <row r="32">
          <cell r="C32">
            <v>16699</v>
          </cell>
          <cell r="D32">
            <v>16021</v>
          </cell>
          <cell r="E32">
            <v>16379</v>
          </cell>
          <cell r="F32">
            <v>18273.8</v>
          </cell>
        </row>
        <row r="33">
          <cell r="C33">
            <v>378115</v>
          </cell>
          <cell r="D33">
            <v>408150</v>
          </cell>
          <cell r="E33">
            <v>446742.4</v>
          </cell>
          <cell r="F33">
            <v>477400.10000000009</v>
          </cell>
        </row>
        <row r="34">
          <cell r="C34">
            <v>53924</v>
          </cell>
          <cell r="D34">
            <v>67671</v>
          </cell>
          <cell r="E34">
            <v>62399.036491735642</v>
          </cell>
          <cell r="F34">
            <v>70166.80769137638</v>
          </cell>
        </row>
        <row r="35">
          <cell r="C35">
            <v>25883</v>
          </cell>
          <cell r="D35">
            <v>37347</v>
          </cell>
          <cell r="E35">
            <v>34475.800000000003</v>
          </cell>
          <cell r="F35">
            <v>34687.9</v>
          </cell>
        </row>
        <row r="36">
          <cell r="C36">
            <v>75923</v>
          </cell>
          <cell r="D36">
            <v>152711</v>
          </cell>
          <cell r="E36">
            <v>76080.313894085135</v>
          </cell>
          <cell r="F36">
            <v>76196.764824295795</v>
          </cell>
        </row>
        <row r="37">
          <cell r="C37">
            <v>12818</v>
          </cell>
          <cell r="D37">
            <v>10836</v>
          </cell>
          <cell r="E37">
            <v>9736.107051580213</v>
          </cell>
          <cell r="F37">
            <v>22478.602789237411</v>
          </cell>
        </row>
        <row r="38">
          <cell r="C38">
            <v>100473</v>
          </cell>
          <cell r="D38">
            <v>105615</v>
          </cell>
          <cell r="E38">
            <v>104451.21752030085</v>
          </cell>
          <cell r="F38">
            <v>120224.59679295711</v>
          </cell>
        </row>
        <row r="39">
          <cell r="C39">
            <v>-87655</v>
          </cell>
          <cell r="D39">
            <v>-94779</v>
          </cell>
          <cell r="E39">
            <v>-94715.110468720639</v>
          </cell>
          <cell r="F39">
            <v>-97745.994003719694</v>
          </cell>
        </row>
        <row r="40">
          <cell r="C40">
            <v>42191</v>
          </cell>
          <cell r="D40">
            <v>-20996</v>
          </cell>
          <cell r="E40">
            <v>68663.653398333408</v>
          </cell>
          <cell r="F40">
            <v>83587.474112085532</v>
          </cell>
        </row>
        <row r="41">
          <cell r="C41">
            <v>-108328</v>
          </cell>
          <cell r="D41">
            <v>-111610</v>
          </cell>
          <cell r="E41">
            <v>-92140.477357972937</v>
          </cell>
          <cell r="F41">
            <v>-100872.52909354842</v>
          </cell>
        </row>
        <row r="42">
          <cell r="C42">
            <v>-66137</v>
          </cell>
          <cell r="D42">
            <v>-132606</v>
          </cell>
          <cell r="E42">
            <v>-23476.823959639529</v>
          </cell>
          <cell r="F42">
            <v>-17285.05498146289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fla"/>
    </sheetNames>
    <sheetDataSet>
      <sheetData sheetId="0">
        <row r="7">
          <cell r="B7">
            <v>1092769.4000000001</v>
          </cell>
          <cell r="C7">
            <v>1139041.5507002787</v>
          </cell>
          <cell r="D7">
            <v>1205500.000292663</v>
          </cell>
        </row>
        <row r="8">
          <cell r="B8">
            <v>145840</v>
          </cell>
          <cell r="C8">
            <v>148920</v>
          </cell>
          <cell r="D8">
            <v>157129</v>
          </cell>
        </row>
        <row r="9">
          <cell r="B9">
            <v>7452.2999999999993</v>
          </cell>
          <cell r="C9">
            <v>7679.2000000000007</v>
          </cell>
          <cell r="D9">
            <v>8085</v>
          </cell>
        </row>
        <row r="10">
          <cell r="B10">
            <v>38925.9</v>
          </cell>
          <cell r="C10">
            <v>31390.989290831021</v>
          </cell>
          <cell r="D10">
            <v>33025.09114153454</v>
          </cell>
        </row>
        <row r="11">
          <cell r="B11">
            <v>61525.400000000016</v>
          </cell>
          <cell r="C11">
            <v>63581.000000000058</v>
          </cell>
          <cell r="D11">
            <v>76725.800000000017</v>
          </cell>
        </row>
        <row r="13">
          <cell r="B13">
            <v>692053.59529999993</v>
          </cell>
          <cell r="C13">
            <v>705686.59529999993</v>
          </cell>
          <cell r="D13">
            <v>736081.82239999913</v>
          </cell>
        </row>
        <row r="14">
          <cell r="B14">
            <v>583102.69999999995</v>
          </cell>
          <cell r="C14">
            <v>594627.69999999995</v>
          </cell>
          <cell r="D14">
            <v>622046.80000000028</v>
          </cell>
        </row>
        <row r="15">
          <cell r="B15">
            <v>54946.5</v>
          </cell>
          <cell r="C15">
            <v>49946.5</v>
          </cell>
          <cell r="D15">
            <v>58406.9</v>
          </cell>
        </row>
        <row r="16">
          <cell r="B16">
            <v>73567.400000000009</v>
          </cell>
          <cell r="C16">
            <v>86261.6</v>
          </cell>
          <cell r="D16">
            <v>89909.1</v>
          </cell>
        </row>
        <row r="19">
          <cell r="A19" t="str">
            <v>Fjárfesting</v>
          </cell>
          <cell r="B19">
            <v>-69912.999999999898</v>
          </cell>
          <cell r="C19">
            <v>-73512.999999999898</v>
          </cell>
          <cell r="D19">
            <v>-86299.499999999884</v>
          </cell>
        </row>
        <row r="20">
          <cell r="A20" t="str">
            <v>Sala eigna</v>
          </cell>
          <cell r="B20">
            <v>99300</v>
          </cell>
          <cell r="C20">
            <v>94300</v>
          </cell>
          <cell r="D20">
            <v>800</v>
          </cell>
        </row>
        <row r="21">
          <cell r="A21" t="str">
            <v>Veitt löng lán</v>
          </cell>
          <cell r="B21">
            <v>-28850</v>
          </cell>
          <cell r="C21">
            <v>-39600</v>
          </cell>
          <cell r="D21">
            <v>-30850</v>
          </cell>
        </row>
        <row r="22">
          <cell r="A22" t="str">
            <v>Innheimtar afborganir af veittum lánum</v>
          </cell>
          <cell r="B22">
            <v>6731</v>
          </cell>
          <cell r="C22">
            <v>28195</v>
          </cell>
          <cell r="D22">
            <v>27675</v>
          </cell>
        </row>
        <row r="23">
          <cell r="A23" t="str">
            <v>Móttekinn arður</v>
          </cell>
          <cell r="B23">
            <v>42415.9</v>
          </cell>
          <cell r="C23">
            <v>53818</v>
          </cell>
          <cell r="D23">
            <v>56822</v>
          </cell>
        </row>
        <row r="24">
          <cell r="A24" t="str">
            <v>Fyrirframgreiðsla til LSR</v>
          </cell>
          <cell r="B24">
            <v>-10400</v>
          </cell>
          <cell r="C24">
            <v>-10400</v>
          </cell>
          <cell r="D24">
            <v>-10733</v>
          </cell>
        </row>
        <row r="25">
          <cell r="A25" t="str">
            <v>Eiginfjárframlög og hlutabréfakaup</v>
          </cell>
          <cell r="B25">
            <v>-1606</v>
          </cell>
          <cell r="C25">
            <v>18394</v>
          </cell>
          <cell r="D25">
            <v>-1606</v>
          </cell>
        </row>
        <row r="26">
          <cell r="A26" t="str">
            <v>Uppgjör ÍL-sjóðs, nettó</v>
          </cell>
          <cell r="B26">
            <v>0</v>
          </cell>
          <cell r="C26">
            <v>-268000</v>
          </cell>
          <cell r="D26">
            <v>0</v>
          </cell>
        </row>
        <row r="30">
          <cell r="B30"/>
        </row>
        <row r="32">
          <cell r="B32">
            <v>164668</v>
          </cell>
          <cell r="C32">
            <v>733456</v>
          </cell>
          <cell r="D32">
            <v>293474</v>
          </cell>
        </row>
        <row r="33">
          <cell r="B33">
            <v>-136423</v>
          </cell>
          <cell r="C33">
            <v>-433487</v>
          </cell>
          <cell r="D33">
            <v>-264082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34214-A930-4F6C-AAB6-2B667982B57D}">
  <sheetPr codeName="Sheet1"/>
  <dimension ref="A1:E31"/>
  <sheetViews>
    <sheetView workbookViewId="0">
      <selection activeCell="Q45" sqref="Q45"/>
    </sheetView>
  </sheetViews>
  <sheetFormatPr defaultColWidth="9.1796875" defaultRowHeight="14.5" x14ac:dyDescent="0.35"/>
  <cols>
    <col min="1" max="1" width="9.1796875" style="48"/>
    <col min="2" max="11" width="9.1796875" style="1"/>
    <col min="12" max="12" width="16.54296875" style="1" customWidth="1"/>
    <col min="13" max="16384" width="9.1796875" style="1"/>
  </cols>
  <sheetData>
    <row r="1" spans="1:3" s="86" customFormat="1" ht="15.5" x14ac:dyDescent="0.35">
      <c r="A1" s="160" t="s">
        <v>339</v>
      </c>
    </row>
    <row r="2" spans="1:3" x14ac:dyDescent="0.35">
      <c r="A2" s="1">
        <v>2</v>
      </c>
      <c r="B2" s="1">
        <v>1</v>
      </c>
      <c r="C2" s="2" t="s">
        <v>293</v>
      </c>
    </row>
    <row r="3" spans="1:3" x14ac:dyDescent="0.35">
      <c r="A3" s="1">
        <v>3</v>
      </c>
      <c r="B3" s="1">
        <v>1</v>
      </c>
      <c r="C3" s="2" t="s">
        <v>340</v>
      </c>
    </row>
    <row r="4" spans="1:3" x14ac:dyDescent="0.35">
      <c r="A4" s="1">
        <v>3</v>
      </c>
      <c r="B4" s="1">
        <v>2</v>
      </c>
      <c r="C4" s="2" t="s">
        <v>341</v>
      </c>
    </row>
    <row r="5" spans="1:3" x14ac:dyDescent="0.35">
      <c r="A5" s="1">
        <v>3</v>
      </c>
      <c r="B5" s="1">
        <v>3</v>
      </c>
      <c r="C5" s="2" t="s">
        <v>342</v>
      </c>
    </row>
    <row r="6" spans="1:3" x14ac:dyDescent="0.35">
      <c r="A6" s="1">
        <v>3</v>
      </c>
      <c r="B6" s="1">
        <v>4</v>
      </c>
      <c r="C6" s="2" t="s">
        <v>343</v>
      </c>
    </row>
    <row r="7" spans="1:3" x14ac:dyDescent="0.35">
      <c r="A7" s="1">
        <v>4</v>
      </c>
      <c r="B7" s="1">
        <v>1</v>
      </c>
      <c r="C7" s="2" t="s">
        <v>344</v>
      </c>
    </row>
    <row r="8" spans="1:3" x14ac:dyDescent="0.35">
      <c r="A8" s="1">
        <v>4</v>
      </c>
      <c r="B8" s="1">
        <v>2</v>
      </c>
      <c r="C8" s="2" t="s">
        <v>294</v>
      </c>
    </row>
    <row r="9" spans="1:3" x14ac:dyDescent="0.35">
      <c r="A9" s="1">
        <v>4</v>
      </c>
      <c r="B9" s="1">
        <v>3</v>
      </c>
      <c r="C9" s="2" t="s">
        <v>295</v>
      </c>
    </row>
    <row r="10" spans="1:3" x14ac:dyDescent="0.35">
      <c r="A10" s="48">
        <v>4</v>
      </c>
      <c r="B10" s="1">
        <v>4</v>
      </c>
      <c r="C10" s="2" t="s">
        <v>345</v>
      </c>
    </row>
    <row r="11" spans="1:3" x14ac:dyDescent="0.35">
      <c r="A11" s="48">
        <v>5</v>
      </c>
      <c r="B11" s="1">
        <v>1</v>
      </c>
      <c r="C11" s="2" t="s">
        <v>61</v>
      </c>
    </row>
    <row r="12" spans="1:3" x14ac:dyDescent="0.35">
      <c r="A12" s="48">
        <v>5</v>
      </c>
      <c r="B12" s="1">
        <v>2</v>
      </c>
      <c r="C12" s="2" t="s">
        <v>346</v>
      </c>
    </row>
    <row r="13" spans="1:3" x14ac:dyDescent="0.35">
      <c r="A13" s="48">
        <v>5</v>
      </c>
      <c r="B13" s="1">
        <v>3</v>
      </c>
      <c r="C13" s="2" t="s">
        <v>296</v>
      </c>
    </row>
    <row r="14" spans="1:3" x14ac:dyDescent="0.35">
      <c r="A14" s="48">
        <v>5</v>
      </c>
      <c r="B14" s="1">
        <v>4</v>
      </c>
      <c r="C14" s="2" t="s">
        <v>347</v>
      </c>
    </row>
    <row r="15" spans="1:3" x14ac:dyDescent="0.35">
      <c r="A15" s="48">
        <v>5</v>
      </c>
      <c r="B15" s="1">
        <v>5</v>
      </c>
      <c r="C15" s="2" t="s">
        <v>297</v>
      </c>
    </row>
    <row r="16" spans="1:3" x14ac:dyDescent="0.35">
      <c r="A16" s="48">
        <v>5</v>
      </c>
      <c r="B16" s="1">
        <v>6</v>
      </c>
      <c r="C16" s="2" t="s">
        <v>348</v>
      </c>
    </row>
    <row r="17" spans="1:5" x14ac:dyDescent="0.35">
      <c r="A17" s="48">
        <v>5</v>
      </c>
      <c r="B17" s="1">
        <v>7</v>
      </c>
      <c r="C17" s="2" t="s">
        <v>298</v>
      </c>
    </row>
    <row r="18" spans="1:5" x14ac:dyDescent="0.35">
      <c r="A18" s="48">
        <v>6</v>
      </c>
      <c r="B18" s="1">
        <v>1</v>
      </c>
      <c r="C18" s="2" t="s">
        <v>299</v>
      </c>
    </row>
    <row r="19" spans="1:5" x14ac:dyDescent="0.35">
      <c r="A19" s="48">
        <v>6</v>
      </c>
      <c r="B19" s="1">
        <v>2</v>
      </c>
      <c r="C19" s="2" t="s">
        <v>351</v>
      </c>
    </row>
    <row r="20" spans="1:5" x14ac:dyDescent="0.35">
      <c r="A20" s="85">
        <v>6</v>
      </c>
      <c r="B20" s="86">
        <v>3</v>
      </c>
      <c r="C20" s="87" t="s">
        <v>349</v>
      </c>
      <c r="D20" s="86"/>
      <c r="E20" s="86"/>
    </row>
    <row r="21" spans="1:5" x14ac:dyDescent="0.35">
      <c r="A21" s="85">
        <v>6</v>
      </c>
      <c r="B21" s="86">
        <v>4</v>
      </c>
      <c r="C21" s="87" t="s">
        <v>350</v>
      </c>
      <c r="D21" s="86"/>
      <c r="E21" s="86"/>
    </row>
    <row r="22" spans="1:5" x14ac:dyDescent="0.35">
      <c r="A22" s="48">
        <v>6</v>
      </c>
      <c r="B22" s="1">
        <v>5</v>
      </c>
      <c r="C22" s="2" t="s">
        <v>301</v>
      </c>
    </row>
    <row r="23" spans="1:5" x14ac:dyDescent="0.35">
      <c r="A23" s="48">
        <v>6</v>
      </c>
      <c r="B23" s="1">
        <v>6</v>
      </c>
      <c r="C23" s="2" t="s">
        <v>300</v>
      </c>
    </row>
    <row r="24" spans="1:5" x14ac:dyDescent="0.35">
      <c r="A24" s="48">
        <v>7</v>
      </c>
      <c r="B24" s="1">
        <v>1</v>
      </c>
      <c r="C24" s="2" t="s">
        <v>302</v>
      </c>
    </row>
    <row r="25" spans="1:5" x14ac:dyDescent="0.35">
      <c r="A25" s="48">
        <v>7</v>
      </c>
      <c r="B25" s="1">
        <v>2</v>
      </c>
      <c r="C25" s="2" t="s">
        <v>352</v>
      </c>
    </row>
    <row r="26" spans="1:5" x14ac:dyDescent="0.35">
      <c r="A26" s="48">
        <v>8</v>
      </c>
      <c r="B26" s="1">
        <v>1</v>
      </c>
      <c r="C26" s="2" t="s">
        <v>353</v>
      </c>
    </row>
    <row r="27" spans="1:5" x14ac:dyDescent="0.35">
      <c r="A27" s="48">
        <v>8</v>
      </c>
      <c r="B27" s="1">
        <v>2</v>
      </c>
      <c r="C27" s="2" t="s">
        <v>303</v>
      </c>
    </row>
    <row r="28" spans="1:5" x14ac:dyDescent="0.35">
      <c r="A28" s="48">
        <v>9</v>
      </c>
      <c r="B28" s="1">
        <v>1</v>
      </c>
      <c r="C28" s="2" t="s">
        <v>304</v>
      </c>
    </row>
    <row r="29" spans="1:5" x14ac:dyDescent="0.35">
      <c r="A29" s="48">
        <v>9</v>
      </c>
      <c r="B29" s="1">
        <v>2</v>
      </c>
      <c r="C29" s="2" t="s">
        <v>305</v>
      </c>
    </row>
    <row r="30" spans="1:5" x14ac:dyDescent="0.35">
      <c r="A30" s="48">
        <v>9</v>
      </c>
      <c r="B30" s="1">
        <v>3</v>
      </c>
      <c r="C30" s="2" t="s">
        <v>354</v>
      </c>
    </row>
    <row r="31" spans="1:5" x14ac:dyDescent="0.35">
      <c r="C31" s="2"/>
    </row>
  </sheetData>
  <hyperlinks>
    <hyperlink ref="C2" location="'3-1'!A1" display="Afkoma ríkissjóðs, breyting frá fjármálaáætlun 2024" xr:uid="{F985F4D8-0AD6-4DBD-809E-B96B1A67FB94}"/>
    <hyperlink ref="C3" location="'3-2'!A1" display="Afkomuhorfur 2023" xr:uid="{59F56CAD-7F4A-4146-9F96-0847CA34814E}"/>
    <hyperlink ref="C5" location="'3-3'!A1" display="Afkoma ríkissjóðs, breyting frá fjárlögum 2023" xr:uid="{FB62041B-43F4-4815-8FFE-0765701DEFF9}"/>
    <hyperlink ref="C6" location="'4-1'!A1" display="Tekjuáætlun 2022-2024" xr:uid="{FCEEB427-3C38-4683-8C9A-629568FC70AF}"/>
    <hyperlink ref="C8" location="'4-3'!A1" display="Arðgreiðslur og hluti af tekjum B-hluta fyrirtækja" xr:uid="{6D5FD686-4654-4E20-A132-D1C67F4CAE45}"/>
    <hyperlink ref="C10" location="'5_1-1'!A1" display="Hagræn skipting útgjalda" xr:uid="{64E3A77C-5DB3-43DC-82D8-F07CCA905742}"/>
    <hyperlink ref="C15" location="'5_5-1'!A1" display="Verðlagsbreytingar" xr:uid="{5250722A-B9A2-4B21-9D26-689006B27EE8}"/>
    <hyperlink ref="C28" location="'9-1'!A1" display="Sjóðstreymi ríkissjóðs" xr:uid="{353FC9FA-8DEB-4562-A1BD-05B6950A29E6}"/>
    <hyperlink ref="C29" location="'9-2'!A1" display="Skuldir ríkissjóðs" xr:uid="{F3F38771-5F79-44F8-9ED7-E5D9877CD547}"/>
    <hyperlink ref="C30" location="'9-3'!A1" display="Lánveitingar" xr:uid="{678364C4-17D4-41ED-B1DA-1781BB5C6AA6}"/>
    <hyperlink ref="C12" location="'5_1-3'!A1" display="Aðhaldsaðgerðir" xr:uid="{025039F9-F62A-4529-B5AD-076DC64291E7}"/>
    <hyperlink ref="C7" location="'4-2'!A1" display="Tekjuáhrif helstu skattabreytinga á ríkissjóð 2024" xr:uid="{39BAC984-B12F-4E29-B3E2-994D8EC5AF47}"/>
    <hyperlink ref="C9" location="'4-4'!A1" display="Skattastyrkir" xr:uid="{F995B784-5344-4210-B14A-AD59CD13A58B}"/>
    <hyperlink ref="C14" location="'5_4-1'!A1" display="Rammasett útgjöld breyting frá fjármálaáætlun" xr:uid="{D2E7E11A-E9E1-407F-B863-1B5E49C1E840}"/>
    <hyperlink ref="C16" location="'5_6-1'!A1" display="Samningar" xr:uid="{E0EAD883-33EB-4C71-A4C1-F13D72D80629}"/>
    <hyperlink ref="C11" location="'5_1-2'!A1" display="Fjárfestingar" xr:uid="{B304B9FD-32B1-4260-BA32-B77F555417DE}"/>
    <hyperlink ref="C17" location="'5_7-1'!A1" display="Varasjóðir málaflokka" xr:uid="{BF1F7BA5-99AA-464A-96BE-0CAEF39507CA}"/>
    <hyperlink ref="C13" location="'5_1-4'!A1" display="Rammasett útgjöld" xr:uid="{34BFAEAF-D037-4BD5-BDD1-7179E38892BA}"/>
    <hyperlink ref="C18" location="'6-1'!A1" display="Flokkun ríkisaðila" xr:uid="{9562BC30-84BF-462A-A173-93F748EA22AA}"/>
    <hyperlink ref="C19" location="'6-2'!A1" display="Yfirlit ríkisreiknings A2 2024" xr:uid="{07C3DB29-AA9A-4239-8EF4-1141BC3E2A11}"/>
    <hyperlink ref="C20" location="'6-3'!A1" display="Lykilstærðir A2 2024" xr:uid="{CD9DAD2B-3BD5-43C5-AFBD-CECC00D32D5C}"/>
    <hyperlink ref="C21" location="'6-4'!A1" display="Heildaryfirlit A-2 hluta 2024" xr:uid="{253FC985-7AB8-4E33-A89F-971BAA0AC712}"/>
    <hyperlink ref="C24" location="'7-1'!A1" display="Samstæðuyfirlit A-hluta í heild" xr:uid="{ECA2B0AE-33A2-4CD5-AA95-36CBBC4451EC}"/>
    <hyperlink ref="C25" location="'7-2'!A1" display="Samstæðuyfirlit A-hluta í heild 2021-2024" xr:uid="{1AC5CF4C-35A1-4206-9D70-04B6661B890C}"/>
    <hyperlink ref="C26" location="'8-1'!A1" display="Lykilstæðir B-hluta 2024" xr:uid="{4DCD62CB-D3A7-448A-851C-2E4AAD2C14EA}"/>
    <hyperlink ref="C27" location="'8-2'!A1" display="Heildaryfirlit B-hluta 2024" xr:uid="{E71DC243-13D9-4853-BD1E-7B1B9D828171}"/>
    <hyperlink ref="C22" location="'6-5'!A1" display="Yfirlit ríkisreiknings A-3 hluta 2024" xr:uid="{A8ADF1BA-630C-495C-9140-F0B33BE220BD}"/>
    <hyperlink ref="C23" location="'6-6'!A1" display="Heildaryfirlit A-3 hluta 2024" xr:uid="{12A0810D-85A0-4BDA-81FA-0EB7B6938B64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A5028-2572-4908-A450-06B79F96E2DF}">
  <sheetPr codeName="Sheet9"/>
  <dimension ref="A1:E42"/>
  <sheetViews>
    <sheetView topLeftCell="A2" workbookViewId="0">
      <selection activeCell="I46" sqref="I46"/>
    </sheetView>
  </sheetViews>
  <sheetFormatPr defaultColWidth="9.1796875" defaultRowHeight="11.5" x14ac:dyDescent="0.25"/>
  <cols>
    <col min="1" max="1" width="36.453125" style="49" customWidth="1"/>
    <col min="2" max="3" width="10.81640625" style="49" customWidth="1"/>
    <col min="4" max="4" width="9.1796875" style="49" bestFit="1" customWidth="1"/>
    <col min="5" max="5" width="8.453125" style="49" customWidth="1"/>
    <col min="6" max="16384" width="9.1796875" style="49"/>
  </cols>
  <sheetData>
    <row r="1" spans="1:5" ht="6.75" hidden="1" customHeight="1" x14ac:dyDescent="0.25"/>
    <row r="2" spans="1:5" ht="12" x14ac:dyDescent="0.3">
      <c r="A2" s="90" t="s">
        <v>135</v>
      </c>
      <c r="B2" s="91">
        <v>2024</v>
      </c>
      <c r="C2" s="91">
        <v>2025</v>
      </c>
      <c r="D2" s="91">
        <v>2026</v>
      </c>
    </row>
    <row r="3" spans="1:5" s="46" customFormat="1" ht="13" x14ac:dyDescent="0.3">
      <c r="A3" s="136"/>
      <c r="B3" s="136"/>
      <c r="C3" s="136"/>
      <c r="D3" s="136"/>
      <c r="E3" s="49"/>
    </row>
    <row r="4" spans="1:5" ht="12" x14ac:dyDescent="0.3">
      <c r="A4" s="93" t="s">
        <v>136</v>
      </c>
      <c r="B4" s="144">
        <v>22145.444230800003</v>
      </c>
      <c r="C4" s="144">
        <v>19999.207443682913</v>
      </c>
      <c r="D4" s="144">
        <v>18519.09001336349</v>
      </c>
    </row>
    <row r="5" spans="1:5" ht="12" x14ac:dyDescent="0.3">
      <c r="A5" s="93" t="s">
        <v>137</v>
      </c>
      <c r="B5" s="144">
        <v>15253.10131991</v>
      </c>
      <c r="C5" s="144">
        <v>17461.549593850003</v>
      </c>
      <c r="D5" s="144">
        <v>18137.73753522697</v>
      </c>
    </row>
    <row r="6" spans="1:5" ht="12" x14ac:dyDescent="0.3">
      <c r="A6" s="93" t="s">
        <v>138</v>
      </c>
      <c r="B6" s="144">
        <v>10744.913456922057</v>
      </c>
      <c r="C6" s="144">
        <v>11797.172829018582</v>
      </c>
      <c r="D6" s="144">
        <v>8384.2933463264271</v>
      </c>
    </row>
    <row r="7" spans="1:5" ht="12" x14ac:dyDescent="0.3">
      <c r="A7" s="93" t="s">
        <v>139</v>
      </c>
      <c r="B7" s="144">
        <v>93234.551364535087</v>
      </c>
      <c r="C7" s="144">
        <v>99064.317452807227</v>
      </c>
      <c r="D7" s="144">
        <v>102358.66366257181</v>
      </c>
    </row>
    <row r="8" spans="1:5" ht="12" x14ac:dyDescent="0.3">
      <c r="A8" s="3" t="s">
        <v>140</v>
      </c>
      <c r="B8" s="129">
        <v>141378.01037216716</v>
      </c>
      <c r="C8" s="129">
        <v>148322.24731935872</v>
      </c>
      <c r="D8" s="129">
        <v>147399.78455748869</v>
      </c>
    </row>
    <row r="9" spans="1:5" ht="12" x14ac:dyDescent="0.3">
      <c r="A9" s="92"/>
      <c r="B9" s="92"/>
      <c r="C9" s="92"/>
      <c r="D9" s="92"/>
    </row>
    <row r="10" spans="1:5" ht="12" x14ac:dyDescent="0.3">
      <c r="A10" s="90" t="s">
        <v>141</v>
      </c>
      <c r="B10" s="91">
        <v>2024</v>
      </c>
      <c r="C10" s="91">
        <v>2025</v>
      </c>
      <c r="D10" s="91">
        <v>2026</v>
      </c>
    </row>
    <row r="11" spans="1:5" x14ac:dyDescent="0.25">
      <c r="A11" s="136"/>
      <c r="B11" s="136"/>
      <c r="C11" s="136"/>
      <c r="D11" s="136"/>
    </row>
    <row r="12" spans="1:5" ht="12" x14ac:dyDescent="0.3">
      <c r="A12" s="93" t="s">
        <v>142</v>
      </c>
      <c r="B12" s="144">
        <v>15219.670866617056</v>
      </c>
      <c r="C12" s="144">
        <v>16698.996980849806</v>
      </c>
      <c r="D12" s="144">
        <v>10395.972042455416</v>
      </c>
    </row>
    <row r="13" spans="1:5" ht="12" x14ac:dyDescent="0.3">
      <c r="A13" s="93" t="s">
        <v>143</v>
      </c>
      <c r="B13" s="144">
        <v>779.87837500000001</v>
      </c>
      <c r="C13" s="144">
        <v>609.01502086377673</v>
      </c>
      <c r="D13" s="144">
        <v>741.894773258432</v>
      </c>
    </row>
    <row r="14" spans="1:5" ht="12" x14ac:dyDescent="0.3">
      <c r="A14" s="93" t="s">
        <v>144</v>
      </c>
      <c r="B14" s="144">
        <v>10458.381013509999</v>
      </c>
      <c r="C14" s="144">
        <v>12410.62589945</v>
      </c>
      <c r="D14" s="144">
        <v>12944.079544134549</v>
      </c>
    </row>
    <row r="15" spans="1:5" ht="12" x14ac:dyDescent="0.3">
      <c r="A15" s="93" t="s">
        <v>16</v>
      </c>
      <c r="B15" s="144">
        <v>650.67458158581633</v>
      </c>
      <c r="C15" s="144">
        <v>761.57334782942007</v>
      </c>
      <c r="D15" s="144">
        <v>782.45400865587339</v>
      </c>
    </row>
    <row r="16" spans="1:5" ht="1.5" customHeight="1" x14ac:dyDescent="0.3">
      <c r="A16" s="93" t="s">
        <v>145</v>
      </c>
      <c r="B16" s="144">
        <v>105216.66210345428</v>
      </c>
      <c r="C16" s="144">
        <v>110950.86509296356</v>
      </c>
      <c r="D16" s="144">
        <v>116738.53255256928</v>
      </c>
    </row>
    <row r="17" spans="1:4" ht="12" x14ac:dyDescent="0.3">
      <c r="A17" s="93" t="s">
        <v>146</v>
      </c>
      <c r="B17" s="144">
        <v>9052.7434319999993</v>
      </c>
      <c r="C17" s="144">
        <v>6891.1709774021501</v>
      </c>
      <c r="D17" s="144">
        <v>5796.8516364151592</v>
      </c>
    </row>
    <row r="18" spans="1:4" ht="24.75" customHeight="1" x14ac:dyDescent="0.3">
      <c r="A18" s="3" t="s">
        <v>140</v>
      </c>
      <c r="B18" s="129">
        <v>141378.01037216713</v>
      </c>
      <c r="C18" s="129">
        <v>148322.24731935872</v>
      </c>
      <c r="D18" s="129">
        <v>147399.78455748872</v>
      </c>
    </row>
    <row r="19" spans="1:4" ht="12" x14ac:dyDescent="0.3">
      <c r="A19" s="3"/>
      <c r="B19" s="135"/>
      <c r="C19" s="135"/>
      <c r="D19" s="135"/>
    </row>
    <row r="20" spans="1:4" ht="12" x14ac:dyDescent="0.3">
      <c r="A20" s="90" t="s">
        <v>147</v>
      </c>
      <c r="B20" s="91">
        <v>2024</v>
      </c>
      <c r="C20" s="91">
        <v>2025</v>
      </c>
      <c r="D20" s="91">
        <v>2026</v>
      </c>
    </row>
    <row r="21" spans="1:4" x14ac:dyDescent="0.25">
      <c r="A21" s="136"/>
      <c r="B21" s="136"/>
      <c r="C21" s="136"/>
      <c r="D21" s="136"/>
    </row>
    <row r="22" spans="1:4" ht="12" x14ac:dyDescent="0.3">
      <c r="A22" s="93" t="s">
        <v>148</v>
      </c>
      <c r="B22" s="144">
        <v>512.56096189499999</v>
      </c>
      <c r="C22" s="144">
        <v>663.79241598440626</v>
      </c>
      <c r="D22" s="144">
        <v>681.06252529202197</v>
      </c>
    </row>
    <row r="23" spans="1:4" ht="12" x14ac:dyDescent="0.3">
      <c r="A23" s="93" t="s">
        <v>149</v>
      </c>
      <c r="B23" s="144">
        <v>175.53270500000002</v>
      </c>
      <c r="C23" s="144">
        <v>185.365422</v>
      </c>
      <c r="D23" s="144">
        <v>197.20276200000001</v>
      </c>
    </row>
    <row r="24" spans="1:4" ht="12" x14ac:dyDescent="0.3">
      <c r="A24" s="93" t="s">
        <v>150</v>
      </c>
      <c r="B24" s="144">
        <v>1590.8355919999999</v>
      </c>
      <c r="C24" s="144">
        <v>1151.6701901009251</v>
      </c>
      <c r="D24" s="144">
        <v>1217.0328406729552</v>
      </c>
    </row>
    <row r="25" spans="1:4" ht="12" x14ac:dyDescent="0.3">
      <c r="A25" s="93" t="s">
        <v>151</v>
      </c>
      <c r="B25" s="144">
        <v>627.22657661204687</v>
      </c>
      <c r="C25" s="144">
        <v>634.5356636414906</v>
      </c>
      <c r="D25" s="144">
        <v>672.91841124641667</v>
      </c>
    </row>
    <row r="26" spans="1:4" ht="12" x14ac:dyDescent="0.3">
      <c r="A26" s="93" t="s">
        <v>152</v>
      </c>
      <c r="B26" s="144">
        <v>73.472156999999996</v>
      </c>
      <c r="C26" s="144">
        <v>81.689452928676687</v>
      </c>
      <c r="D26" s="144">
        <v>86.290178463969525</v>
      </c>
    </row>
    <row r="27" spans="1:4" ht="12" x14ac:dyDescent="0.3">
      <c r="A27" s="93" t="s">
        <v>153</v>
      </c>
      <c r="B27" s="144">
        <v>27031.1397012782</v>
      </c>
      <c r="C27" s="144">
        <v>27808.751151272958</v>
      </c>
      <c r="D27" s="144">
        <v>29584.711117939176</v>
      </c>
    </row>
    <row r="28" spans="1:4" ht="12" x14ac:dyDescent="0.3">
      <c r="A28" s="93" t="s">
        <v>154</v>
      </c>
      <c r="B28" s="144">
        <v>5241.776844</v>
      </c>
      <c r="C28" s="144">
        <v>3054.9617613161772</v>
      </c>
      <c r="D28" s="144">
        <v>895.24120622820635</v>
      </c>
    </row>
    <row r="29" spans="1:4" ht="12" x14ac:dyDescent="0.3">
      <c r="A29" s="93" t="s">
        <v>155</v>
      </c>
      <c r="B29" s="144">
        <v>6879.4753971299715</v>
      </c>
      <c r="C29" s="144">
        <v>7202.8922746606322</v>
      </c>
      <c r="D29" s="144">
        <v>7654.048662562579</v>
      </c>
    </row>
    <row r="30" spans="1:4" ht="12" x14ac:dyDescent="0.3">
      <c r="A30" s="93" t="s">
        <v>156</v>
      </c>
      <c r="B30" s="144">
        <v>473.02346034549083</v>
      </c>
      <c r="C30" s="144">
        <v>509.84094868859455</v>
      </c>
      <c r="D30" s="144">
        <v>538.47120937430464</v>
      </c>
    </row>
    <row r="31" spans="1:4" ht="12" x14ac:dyDescent="0.3">
      <c r="A31" s="93" t="s">
        <v>157</v>
      </c>
      <c r="B31" s="144">
        <v>1337.0382853746992</v>
      </c>
      <c r="C31" s="144">
        <v>1440.3415540165352</v>
      </c>
      <c r="D31" s="144">
        <v>1521.461159174045</v>
      </c>
    </row>
    <row r="32" spans="1:4" ht="12" x14ac:dyDescent="0.3">
      <c r="A32" s="93" t="s">
        <v>158</v>
      </c>
      <c r="B32" s="144">
        <v>140.09843900000001</v>
      </c>
      <c r="C32" s="144">
        <v>151</v>
      </c>
      <c r="D32" s="144">
        <v>160</v>
      </c>
    </row>
    <row r="33" spans="1:4" ht="12" x14ac:dyDescent="0.3">
      <c r="A33" s="93" t="s">
        <v>159</v>
      </c>
      <c r="B33" s="144">
        <v>986.42224899999997</v>
      </c>
      <c r="C33" s="144">
        <v>1060.7821985716159</v>
      </c>
      <c r="D33" s="144">
        <v>1120.5251344511541</v>
      </c>
    </row>
    <row r="34" spans="1:4" ht="12" x14ac:dyDescent="0.3">
      <c r="A34" s="93" t="s">
        <v>160</v>
      </c>
      <c r="B34" s="144">
        <v>60882.275324434042</v>
      </c>
      <c r="C34" s="144">
        <v>65147.061908803269</v>
      </c>
      <c r="D34" s="144">
        <v>66237.942261213262</v>
      </c>
    </row>
    <row r="35" spans="1:4" ht="12" x14ac:dyDescent="0.3">
      <c r="A35" s="93" t="s">
        <v>331</v>
      </c>
      <c r="B35" s="144">
        <v>1008.5926442830594</v>
      </c>
      <c r="C35" s="144">
        <v>366.81294415847555</v>
      </c>
      <c r="D35" s="144">
        <v>387.31588822623468</v>
      </c>
    </row>
    <row r="36" spans="1:4" ht="12" x14ac:dyDescent="0.3">
      <c r="A36" s="93" t="s">
        <v>332</v>
      </c>
      <c r="B36" s="144">
        <v>15612.26469262832</v>
      </c>
      <c r="C36" s="144">
        <v>18128.360285281444</v>
      </c>
      <c r="D36" s="144">
        <v>14972.682497406317</v>
      </c>
    </row>
    <row r="37" spans="1:4" ht="12" x14ac:dyDescent="0.3">
      <c r="A37" s="93" t="s">
        <v>161</v>
      </c>
      <c r="B37" s="144">
        <v>7963.6501641863088</v>
      </c>
      <c r="C37" s="144">
        <v>8663.9060119335081</v>
      </c>
      <c r="D37" s="144">
        <v>9147.7482993131052</v>
      </c>
    </row>
    <row r="38" spans="1:4" ht="12" x14ac:dyDescent="0.3">
      <c r="A38" s="93" t="s">
        <v>162</v>
      </c>
      <c r="B38" s="144">
        <v>10842.625178</v>
      </c>
      <c r="C38" s="144">
        <v>12070.483136000001</v>
      </c>
      <c r="D38" s="144">
        <v>12325.130403924948</v>
      </c>
    </row>
    <row r="39" spans="1:4" ht="12" x14ac:dyDescent="0.3">
      <c r="A39" s="3" t="s">
        <v>140</v>
      </c>
      <c r="B39" s="129">
        <v>141378.01037216713</v>
      </c>
      <c r="C39" s="129">
        <v>148322.24731935872</v>
      </c>
      <c r="D39" s="129">
        <v>147399.78455748869</v>
      </c>
    </row>
    <row r="40" spans="1:4" ht="12" x14ac:dyDescent="0.3">
      <c r="A40" s="3"/>
      <c r="B40" s="135"/>
      <c r="C40" s="135"/>
      <c r="D40" s="135"/>
    </row>
    <row r="41" spans="1:4" ht="12" x14ac:dyDescent="0.3">
      <c r="A41" s="3" t="s">
        <v>163</v>
      </c>
      <c r="B41" s="145">
        <v>3.0745050695289194E-2</v>
      </c>
      <c r="C41" s="145">
        <v>2.994180640496219E-2</v>
      </c>
      <c r="D41" s="145">
        <v>2.8169112877562921E-2</v>
      </c>
    </row>
    <row r="42" spans="1:4" ht="6" customHeight="1" x14ac:dyDescent="0.3">
      <c r="A42" s="101"/>
      <c r="B42" s="101"/>
      <c r="C42" s="101"/>
      <c r="D42" s="10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643C3-BFE6-414A-B228-845E81621296}">
  <sheetPr codeName="Sheet10"/>
  <dimension ref="A1:U84"/>
  <sheetViews>
    <sheetView topLeftCell="A2" workbookViewId="0">
      <selection activeCell="N20" sqref="N20"/>
    </sheetView>
  </sheetViews>
  <sheetFormatPr defaultColWidth="9.1796875" defaultRowHeight="12" x14ac:dyDescent="0.3"/>
  <cols>
    <col min="1" max="1" width="41.81640625" style="4" customWidth="1"/>
    <col min="2" max="3" width="10.54296875" style="4" customWidth="1"/>
    <col min="4" max="16384" width="9.1796875" style="4"/>
  </cols>
  <sheetData>
    <row r="1" spans="1:21" ht="9" hidden="1" customHeight="1" x14ac:dyDescent="0.3"/>
    <row r="2" spans="1:21" x14ac:dyDescent="0.3">
      <c r="A2" s="115"/>
      <c r="B2" s="115"/>
      <c r="C2" s="115"/>
      <c r="D2" s="115"/>
      <c r="E2" s="115"/>
    </row>
    <row r="3" spans="1:21" ht="26.5" x14ac:dyDescent="0.3">
      <c r="A3" s="99" t="s">
        <v>39</v>
      </c>
      <c r="B3" s="100" t="s">
        <v>364</v>
      </c>
      <c r="C3" s="100" t="s">
        <v>398</v>
      </c>
      <c r="D3" s="100" t="s">
        <v>62</v>
      </c>
      <c r="E3" s="100" t="s">
        <v>63</v>
      </c>
    </row>
    <row r="4" spans="1:21" x14ac:dyDescent="0.3">
      <c r="A4" s="101"/>
      <c r="B4" s="101"/>
      <c r="C4" s="101"/>
      <c r="D4" s="101"/>
      <c r="E4" s="101"/>
    </row>
    <row r="5" spans="1:21" x14ac:dyDescent="0.3">
      <c r="A5" s="93" t="s">
        <v>64</v>
      </c>
      <c r="B5" s="94">
        <v>651818.19999999995</v>
      </c>
      <c r="C5" s="94">
        <v>665358</v>
      </c>
      <c r="D5" s="94">
        <v>13539.800000000047</v>
      </c>
      <c r="E5" s="95">
        <v>2.0772356463811592</v>
      </c>
    </row>
    <row r="6" spans="1:21" x14ac:dyDescent="0.3">
      <c r="A6" s="93" t="s">
        <v>65</v>
      </c>
      <c r="B6" s="94">
        <v>511865.5</v>
      </c>
      <c r="C6" s="94">
        <v>533462</v>
      </c>
      <c r="D6" s="94">
        <v>21596.5</v>
      </c>
      <c r="E6" s="95">
        <v>4.2191747636830312</v>
      </c>
    </row>
    <row r="7" spans="1:21" x14ac:dyDescent="0.3">
      <c r="A7" s="93" t="s">
        <v>66</v>
      </c>
      <c r="B7" s="94">
        <v>56991.5</v>
      </c>
      <c r="C7" s="94">
        <v>60694</v>
      </c>
      <c r="D7" s="94">
        <v>3702.5</v>
      </c>
      <c r="E7" s="95">
        <v>6.4965828237544265</v>
      </c>
    </row>
    <row r="8" spans="1:21" x14ac:dyDescent="0.3">
      <c r="A8" s="93" t="s">
        <v>67</v>
      </c>
      <c r="B8" s="94">
        <v>69893</v>
      </c>
      <c r="C8" s="94">
        <v>85985</v>
      </c>
      <c r="D8" s="94">
        <v>16092</v>
      </c>
      <c r="E8" s="95">
        <v>23.023764897772313</v>
      </c>
    </row>
    <row r="9" spans="1:21" x14ac:dyDescent="0.3">
      <c r="A9" s="3" t="s">
        <v>68</v>
      </c>
      <c r="B9" s="126">
        <v>1290568.2</v>
      </c>
      <c r="C9" s="126">
        <v>1345499</v>
      </c>
      <c r="D9" s="126">
        <v>54930.800000000047</v>
      </c>
      <c r="E9" s="135">
        <v>4.2563267869144772</v>
      </c>
    </row>
    <row r="10" spans="1:21" x14ac:dyDescent="0.3">
      <c r="A10" s="93" t="s">
        <v>8</v>
      </c>
      <c r="B10" s="94">
        <v>101595.6</v>
      </c>
      <c r="C10" s="94">
        <v>125388.6</v>
      </c>
      <c r="D10" s="94">
        <v>23793</v>
      </c>
      <c r="E10" s="95">
        <v>23.419321309190554</v>
      </c>
    </row>
    <row r="11" spans="1:21" x14ac:dyDescent="0.3">
      <c r="A11" s="93" t="s">
        <v>69</v>
      </c>
      <c r="B11" s="94">
        <v>153475.70000000001</v>
      </c>
      <c r="C11" s="94">
        <v>157777</v>
      </c>
      <c r="D11" s="94">
        <v>4301.2999999999884</v>
      </c>
      <c r="E11" s="95">
        <v>2.8025935050304263</v>
      </c>
    </row>
    <row r="12" spans="1:21" x14ac:dyDescent="0.3">
      <c r="A12" s="3" t="s">
        <v>11</v>
      </c>
      <c r="B12" s="126">
        <v>1545639.5</v>
      </c>
      <c r="C12" s="126">
        <v>1628664.6</v>
      </c>
      <c r="D12" s="126">
        <v>83025.100000000093</v>
      </c>
      <c r="E12" s="135">
        <v>5.3715695024616039</v>
      </c>
    </row>
    <row r="13" spans="1:21" ht="19.5" customHeight="1" x14ac:dyDescent="0.3">
      <c r="A13" s="93" t="s">
        <v>70</v>
      </c>
      <c r="B13" s="94">
        <v>68285.5</v>
      </c>
      <c r="C13" s="94">
        <v>68760.399999999994</v>
      </c>
      <c r="D13" s="94">
        <v>474.89999999999418</v>
      </c>
      <c r="E13" s="95">
        <v>0.69546243345950387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spans="1:21" x14ac:dyDescent="0.3">
      <c r="A14" s="93" t="s">
        <v>71</v>
      </c>
      <c r="B14" s="94">
        <v>1318888</v>
      </c>
      <c r="C14" s="94">
        <v>1520929.5</v>
      </c>
      <c r="D14" s="94">
        <v>202041.5</v>
      </c>
      <c r="E14" s="95">
        <v>15.319079406287717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spans="1:21" x14ac:dyDescent="0.3">
      <c r="A15" s="93" t="s">
        <v>72</v>
      </c>
      <c r="B15" s="94">
        <v>158466</v>
      </c>
      <c r="C15" s="94">
        <v>38974.700000000186</v>
      </c>
      <c r="D15" s="94">
        <v>-119491.29999999981</v>
      </c>
      <c r="E15" s="95">
        <v>-75.405008014337341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spans="1:21" x14ac:dyDescent="0.3">
      <c r="A16" s="3" t="s">
        <v>73</v>
      </c>
      <c r="B16" s="126">
        <v>1545639.5</v>
      </c>
      <c r="C16" s="126">
        <v>1628664.6</v>
      </c>
      <c r="D16" s="126">
        <v>83025.100000000093</v>
      </c>
      <c r="E16" s="135">
        <v>5.3715695024616039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</row>
    <row r="17" spans="1:21" x14ac:dyDescent="0.3">
      <c r="A17" s="101"/>
      <c r="B17" s="101"/>
      <c r="C17" s="101"/>
      <c r="D17" s="101"/>
      <c r="E17" s="101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</row>
    <row r="18" spans="1:21" ht="12.5" x14ac:dyDescent="0.3">
      <c r="A18" s="78" t="s">
        <v>74</v>
      </c>
      <c r="B18" s="115"/>
      <c r="C18" s="115"/>
      <c r="D18" s="115"/>
      <c r="E18" s="1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spans="1:21" ht="12" customHeight="1" x14ac:dyDescent="0.3">
      <c r="A19" s="78" t="s">
        <v>333</v>
      </c>
      <c r="B19" s="78"/>
      <c r="C19" s="78"/>
      <c r="D19" s="78"/>
      <c r="E19" s="78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</row>
    <row r="20" spans="1:21" x14ac:dyDescent="0.3">
      <c r="A20" s="78" t="s">
        <v>334</v>
      </c>
      <c r="B20" s="115"/>
      <c r="C20" s="115"/>
      <c r="D20" s="115"/>
      <c r="E20" s="1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spans="1:21" ht="19.5" customHeight="1" x14ac:dyDescent="0.3"/>
    <row r="23" spans="1:21" ht="26.25" customHeight="1" x14ac:dyDescent="0.3"/>
    <row r="24" spans="1:21" x14ac:dyDescent="0.3">
      <c r="A24" s="25"/>
      <c r="B24" s="68"/>
      <c r="C24" s="68"/>
    </row>
    <row r="25" spans="1:21" x14ac:dyDescent="0.3">
      <c r="A25" s="22"/>
      <c r="B25" s="69"/>
      <c r="C25" s="69"/>
    </row>
    <row r="26" spans="1:21" x14ac:dyDescent="0.3">
      <c r="A26" s="22"/>
      <c r="B26" s="69"/>
      <c r="C26" s="69"/>
    </row>
    <row r="27" spans="1:21" x14ac:dyDescent="0.3">
      <c r="A27" s="22"/>
      <c r="B27" s="69"/>
      <c r="C27" s="69"/>
    </row>
    <row r="28" spans="1:21" x14ac:dyDescent="0.3">
      <c r="A28" s="22"/>
      <c r="B28" s="69"/>
      <c r="C28" s="69"/>
    </row>
    <row r="29" spans="1:21" x14ac:dyDescent="0.3">
      <c r="A29" s="22"/>
      <c r="B29" s="69"/>
      <c r="C29" s="69"/>
    </row>
    <row r="30" spans="1:21" x14ac:dyDescent="0.3">
      <c r="A30" s="22"/>
      <c r="B30" s="69"/>
      <c r="C30" s="69"/>
    </row>
    <row r="31" spans="1:21" x14ac:dyDescent="0.3">
      <c r="A31" s="22"/>
      <c r="B31" s="69"/>
      <c r="C31" s="69"/>
    </row>
    <row r="32" spans="1:21" x14ac:dyDescent="0.3">
      <c r="A32" s="22"/>
      <c r="B32" s="69"/>
      <c r="C32" s="69"/>
    </row>
    <row r="33" spans="1:3" ht="19.5" customHeight="1" x14ac:dyDescent="0.3">
      <c r="A33" s="22"/>
      <c r="B33" s="69"/>
      <c r="C33" s="69"/>
    </row>
    <row r="34" spans="1:3" x14ac:dyDescent="0.3">
      <c r="A34" s="22"/>
      <c r="B34" s="69"/>
      <c r="C34" s="69"/>
    </row>
    <row r="35" spans="1:3" x14ac:dyDescent="0.3">
      <c r="A35" s="22"/>
      <c r="B35" s="69"/>
      <c r="C35" s="69"/>
    </row>
    <row r="36" spans="1:3" x14ac:dyDescent="0.3">
      <c r="A36" s="22"/>
      <c r="B36" s="69"/>
      <c r="C36" s="69"/>
    </row>
    <row r="37" spans="1:3" x14ac:dyDescent="0.3">
      <c r="A37" s="22"/>
      <c r="B37" s="69"/>
      <c r="C37" s="69"/>
    </row>
    <row r="38" spans="1:3" x14ac:dyDescent="0.3">
      <c r="A38" s="22"/>
      <c r="B38" s="69"/>
      <c r="C38" s="69"/>
    </row>
    <row r="39" spans="1:3" x14ac:dyDescent="0.3">
      <c r="A39" s="22"/>
      <c r="B39" s="69"/>
      <c r="C39" s="69"/>
    </row>
    <row r="40" spans="1:3" x14ac:dyDescent="0.3">
      <c r="A40" s="22"/>
      <c r="B40" s="69"/>
      <c r="C40" s="69"/>
    </row>
    <row r="41" spans="1:3" x14ac:dyDescent="0.3">
      <c r="A41" s="22"/>
      <c r="B41" s="70"/>
      <c r="C41" s="70"/>
    </row>
    <row r="42" spans="1:3" x14ac:dyDescent="0.3">
      <c r="A42" s="25"/>
      <c r="B42" s="68"/>
      <c r="C42" s="68"/>
    </row>
    <row r="43" spans="1:3" x14ac:dyDescent="0.3">
      <c r="A43" s="22"/>
      <c r="B43" s="69"/>
      <c r="C43" s="69"/>
    </row>
    <row r="44" spans="1:3" x14ac:dyDescent="0.3">
      <c r="A44" s="22"/>
      <c r="B44" s="69"/>
      <c r="C44" s="69"/>
    </row>
    <row r="45" spans="1:3" x14ac:dyDescent="0.3">
      <c r="A45" s="22"/>
      <c r="B45" s="69"/>
      <c r="C45" s="69"/>
    </row>
    <row r="46" spans="1:3" x14ac:dyDescent="0.3">
      <c r="A46" s="22"/>
      <c r="B46" s="69"/>
      <c r="C46" s="69"/>
    </row>
    <row r="47" spans="1:3" x14ac:dyDescent="0.3">
      <c r="A47" s="22"/>
      <c r="B47" s="69"/>
      <c r="C47" s="69"/>
    </row>
    <row r="48" spans="1:3" x14ac:dyDescent="0.3">
      <c r="A48" s="22"/>
      <c r="B48" s="69"/>
      <c r="C48" s="69"/>
    </row>
    <row r="49" spans="1:3" x14ac:dyDescent="0.3">
      <c r="A49" s="22"/>
      <c r="B49" s="69"/>
      <c r="C49" s="69"/>
    </row>
    <row r="50" spans="1:3" x14ac:dyDescent="0.3">
      <c r="A50" s="22"/>
      <c r="B50" s="69"/>
      <c r="C50" s="69"/>
    </row>
    <row r="51" spans="1:3" x14ac:dyDescent="0.3">
      <c r="A51" s="22"/>
      <c r="B51" s="69"/>
      <c r="C51" s="69"/>
    </row>
    <row r="52" spans="1:3" x14ac:dyDescent="0.3">
      <c r="A52" s="22"/>
      <c r="B52" s="69"/>
      <c r="C52" s="69"/>
    </row>
    <row r="53" spans="1:3" x14ac:dyDescent="0.3">
      <c r="A53" s="22"/>
      <c r="B53" s="69"/>
      <c r="C53" s="69"/>
    </row>
    <row r="54" spans="1:3" ht="19.5" customHeight="1" x14ac:dyDescent="0.3">
      <c r="A54" s="22"/>
      <c r="B54" s="69"/>
      <c r="C54" s="69"/>
    </row>
    <row r="55" spans="1:3" x14ac:dyDescent="0.3">
      <c r="A55" s="22"/>
      <c r="B55" s="69"/>
      <c r="C55" s="69"/>
    </row>
    <row r="56" spans="1:3" x14ac:dyDescent="0.3">
      <c r="A56" s="25"/>
      <c r="B56" s="68"/>
      <c r="C56" s="68"/>
    </row>
    <row r="57" spans="1:3" x14ac:dyDescent="0.3">
      <c r="A57" s="25"/>
      <c r="B57" s="68"/>
      <c r="C57" s="68"/>
    </row>
    <row r="58" spans="1:3" x14ac:dyDescent="0.3">
      <c r="A58" s="25"/>
      <c r="B58" s="68"/>
      <c r="C58" s="68"/>
    </row>
    <row r="59" spans="1:3" x14ac:dyDescent="0.3">
      <c r="A59" s="10"/>
      <c r="B59" s="68"/>
      <c r="C59" s="68"/>
    </row>
    <row r="60" spans="1:3" x14ac:dyDescent="0.3">
      <c r="A60" s="7"/>
      <c r="B60" s="7"/>
      <c r="C60" s="7"/>
    </row>
    <row r="61" spans="1:3" x14ac:dyDescent="0.3">
      <c r="A61" s="71"/>
    </row>
    <row r="68" ht="19.5" customHeight="1" x14ac:dyDescent="0.3"/>
    <row r="69" ht="19.5" customHeight="1" x14ac:dyDescent="0.3"/>
    <row r="70" ht="19.5" customHeight="1" x14ac:dyDescent="0.3"/>
    <row r="71" ht="19.5" customHeight="1" x14ac:dyDescent="0.3"/>
    <row r="72" ht="4" customHeight="1" x14ac:dyDescent="0.3"/>
    <row r="84" ht="3" customHeight="1" x14ac:dyDescent="0.3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38197-60E0-4E52-B9D0-E5E9DE8CD0A2}">
  <sheetPr codeName="Sheet11"/>
  <dimension ref="A1:F28"/>
  <sheetViews>
    <sheetView topLeftCell="A2" workbookViewId="0">
      <selection activeCell="C27" sqref="C27"/>
    </sheetView>
  </sheetViews>
  <sheetFormatPr defaultColWidth="9.1796875" defaultRowHeight="13" x14ac:dyDescent="0.3"/>
  <cols>
    <col min="1" max="1" width="63.54296875" style="46" bestFit="1" customWidth="1"/>
    <col min="2" max="6" width="11.81640625" style="46" customWidth="1"/>
    <col min="7" max="16384" width="9.1796875" style="46"/>
  </cols>
  <sheetData>
    <row r="1" spans="1:6" ht="6.75" hidden="1" customHeight="1" x14ac:dyDescent="0.3">
      <c r="A1" s="56"/>
      <c r="B1" s="56"/>
      <c r="C1" s="56"/>
      <c r="D1" s="56"/>
      <c r="E1" s="56"/>
      <c r="F1" s="56"/>
    </row>
    <row r="2" spans="1:6" ht="24" x14ac:dyDescent="0.3">
      <c r="A2" s="99" t="s">
        <v>399</v>
      </c>
      <c r="B2" s="170" t="s">
        <v>364</v>
      </c>
      <c r="C2" s="170" t="s">
        <v>386</v>
      </c>
    </row>
    <row r="3" spans="1:6" x14ac:dyDescent="0.3">
      <c r="A3" s="101"/>
      <c r="B3" s="101"/>
      <c r="C3" s="101"/>
    </row>
    <row r="4" spans="1:6" x14ac:dyDescent="0.3">
      <c r="A4" s="104" t="s">
        <v>128</v>
      </c>
      <c r="B4" s="171"/>
      <c r="C4" s="171"/>
    </row>
    <row r="5" spans="1:6" x14ac:dyDescent="0.3">
      <c r="A5" s="105" t="s">
        <v>400</v>
      </c>
      <c r="B5" s="210">
        <v>26.8</v>
      </c>
      <c r="C5" s="210">
        <v>35.299999999999997</v>
      </c>
    </row>
    <row r="6" spans="1:6" x14ac:dyDescent="0.3">
      <c r="A6" s="105" t="s">
        <v>114</v>
      </c>
      <c r="B6" s="210">
        <v>6.7</v>
      </c>
      <c r="C6" s="210">
        <v>6.9</v>
      </c>
    </row>
    <row r="7" spans="1:6" x14ac:dyDescent="0.3">
      <c r="A7" s="104" t="s">
        <v>401</v>
      </c>
      <c r="B7" s="210"/>
      <c r="C7" s="210"/>
    </row>
    <row r="8" spans="1:6" x14ac:dyDescent="0.3">
      <c r="A8" s="105" t="s">
        <v>402</v>
      </c>
      <c r="B8" s="210">
        <v>17.2</v>
      </c>
      <c r="C8" s="210">
        <v>18.600000000000001</v>
      </c>
    </row>
    <row r="9" spans="1:6" x14ac:dyDescent="0.3">
      <c r="A9" s="105" t="s">
        <v>403</v>
      </c>
      <c r="B9" s="210">
        <v>5.6</v>
      </c>
      <c r="C9" s="210">
        <v>6.1</v>
      </c>
    </row>
    <row r="10" spans="1:6" x14ac:dyDescent="0.3">
      <c r="A10" s="105" t="s">
        <v>404</v>
      </c>
      <c r="B10" s="210">
        <v>5.7</v>
      </c>
      <c r="C10" s="210">
        <v>5.6</v>
      </c>
    </row>
    <row r="11" spans="1:6" x14ac:dyDescent="0.3">
      <c r="A11" s="104" t="s">
        <v>124</v>
      </c>
      <c r="B11" s="210"/>
      <c r="C11" s="210"/>
    </row>
    <row r="12" spans="1:6" x14ac:dyDescent="0.3">
      <c r="A12" s="105" t="s">
        <v>405</v>
      </c>
      <c r="B12" s="210">
        <v>16.399999999999999</v>
      </c>
      <c r="C12" s="210">
        <v>22.6</v>
      </c>
    </row>
    <row r="13" spans="1:6" x14ac:dyDescent="0.3">
      <c r="A13" s="105" t="s">
        <v>406</v>
      </c>
      <c r="B13" s="210"/>
      <c r="C13" s="210">
        <v>3</v>
      </c>
    </row>
    <row r="14" spans="1:6" x14ac:dyDescent="0.3">
      <c r="A14" s="104" t="s">
        <v>122</v>
      </c>
      <c r="B14" s="210"/>
      <c r="C14" s="210"/>
    </row>
    <row r="15" spans="1:6" x14ac:dyDescent="0.3">
      <c r="A15" s="105" t="s">
        <v>407</v>
      </c>
      <c r="B15" s="210">
        <v>1.5</v>
      </c>
      <c r="C15" s="210">
        <v>2.8</v>
      </c>
    </row>
    <row r="16" spans="1:6" x14ac:dyDescent="0.3">
      <c r="A16" s="104" t="s">
        <v>125</v>
      </c>
      <c r="B16" s="210"/>
      <c r="C16" s="210"/>
    </row>
    <row r="17" spans="1:3" x14ac:dyDescent="0.3">
      <c r="A17" s="105" t="s">
        <v>408</v>
      </c>
      <c r="B17" s="210">
        <v>1.5</v>
      </c>
      <c r="C17" s="210">
        <v>2.1</v>
      </c>
    </row>
    <row r="18" spans="1:3" x14ac:dyDescent="0.3">
      <c r="A18" s="104" t="s">
        <v>409</v>
      </c>
      <c r="B18" s="210"/>
      <c r="C18" s="210"/>
    </row>
    <row r="19" spans="1:3" x14ac:dyDescent="0.3">
      <c r="A19" s="105" t="s">
        <v>410</v>
      </c>
      <c r="B19" s="210">
        <v>8.6999999999999993</v>
      </c>
      <c r="C19" s="210">
        <v>8.9</v>
      </c>
    </row>
    <row r="20" spans="1:3" x14ac:dyDescent="0.3">
      <c r="A20" s="105" t="s">
        <v>411</v>
      </c>
      <c r="B20" s="210"/>
      <c r="C20" s="210">
        <v>0.5</v>
      </c>
    </row>
    <row r="21" spans="1:3" x14ac:dyDescent="0.3">
      <c r="A21" s="104" t="s">
        <v>412</v>
      </c>
      <c r="B21" s="210"/>
      <c r="C21" s="210"/>
    </row>
    <row r="22" spans="1:3" x14ac:dyDescent="0.3">
      <c r="A22" s="105" t="s">
        <v>413</v>
      </c>
      <c r="B22" s="210"/>
      <c r="C22" s="210">
        <v>0.5</v>
      </c>
    </row>
    <row r="23" spans="1:3" x14ac:dyDescent="0.3">
      <c r="A23" s="104" t="s">
        <v>414</v>
      </c>
      <c r="B23" s="210">
        <v>36.799999999999997</v>
      </c>
      <c r="C23" s="210">
        <v>33.6</v>
      </c>
    </row>
    <row r="24" spans="1:3" ht="5.5" customHeight="1" x14ac:dyDescent="0.3">
      <c r="A24" s="92"/>
      <c r="B24" s="211"/>
      <c r="C24" s="210"/>
    </row>
    <row r="25" spans="1:3" ht="6.5" customHeight="1" x14ac:dyDescent="0.3">
      <c r="A25" s="92"/>
      <c r="B25" s="211"/>
      <c r="C25" s="210"/>
    </row>
    <row r="26" spans="1:3" x14ac:dyDescent="0.3">
      <c r="A26" s="166" t="s">
        <v>415</v>
      </c>
      <c r="B26" s="212">
        <v>127</v>
      </c>
      <c r="C26" s="212">
        <v>146.80000000000001</v>
      </c>
    </row>
    <row r="27" spans="1:3" x14ac:dyDescent="0.3">
      <c r="A27" s="101"/>
      <c r="B27" s="172"/>
      <c r="C27" s="172"/>
    </row>
    <row r="28" spans="1:3" x14ac:dyDescent="0.3">
      <c r="A28" s="205" t="s">
        <v>416</v>
      </c>
      <c r="B28" s="205"/>
      <c r="C28" s="205"/>
    </row>
  </sheetData>
  <mergeCells count="1">
    <mergeCell ref="A28:C2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85200-7ED9-4734-A934-3F9DE01BBEA9}">
  <sheetPr codeName="Sheet12"/>
  <dimension ref="A1:G51"/>
  <sheetViews>
    <sheetView workbookViewId="0">
      <selection activeCell="F20" sqref="F20"/>
    </sheetView>
  </sheetViews>
  <sheetFormatPr defaultColWidth="9.1796875" defaultRowHeight="12" x14ac:dyDescent="0.3"/>
  <cols>
    <col min="1" max="1" width="44.81640625" style="4" customWidth="1"/>
    <col min="2" max="2" width="11.1796875" style="4" customWidth="1"/>
    <col min="3" max="3" width="11.54296875" style="4" customWidth="1"/>
    <col min="4" max="4" width="10" style="4" bestFit="1" customWidth="1"/>
    <col min="5" max="6" width="9.1796875" style="4"/>
    <col min="7" max="7" width="9.81640625" style="4" bestFit="1" customWidth="1"/>
    <col min="8" max="10" width="9.1796875" style="4"/>
    <col min="11" max="11" width="27.81640625" style="4" bestFit="1" customWidth="1"/>
    <col min="12" max="16384" width="9.1796875" style="4"/>
  </cols>
  <sheetData>
    <row r="1" spans="1:4" ht="20.5" customHeight="1" x14ac:dyDescent="0.3">
      <c r="A1" s="90" t="s">
        <v>39</v>
      </c>
      <c r="B1" s="91" t="s">
        <v>335</v>
      </c>
      <c r="C1" s="91" t="s">
        <v>84</v>
      </c>
      <c r="D1" s="91" t="s">
        <v>336</v>
      </c>
    </row>
    <row r="2" spans="1:4" ht="6" customHeight="1" x14ac:dyDescent="0.3">
      <c r="A2" s="92"/>
      <c r="B2" s="113"/>
      <c r="C2" s="113"/>
      <c r="D2" s="113"/>
    </row>
    <row r="3" spans="1:4" x14ac:dyDescent="0.3">
      <c r="A3" s="93" t="s">
        <v>122</v>
      </c>
      <c r="B3" s="141">
        <v>-546.70000000000005</v>
      </c>
      <c r="C3" s="141">
        <v>0</v>
      </c>
      <c r="D3" s="141">
        <f>+B3+C3</f>
        <v>-546.70000000000005</v>
      </c>
    </row>
    <row r="4" spans="1:4" x14ac:dyDescent="0.3">
      <c r="A4" s="93" t="s">
        <v>123</v>
      </c>
      <c r="B4" s="141">
        <v>-1626.6</v>
      </c>
      <c r="C4" s="141">
        <v>-5.3</v>
      </c>
      <c r="D4" s="141">
        <f t="shared" ref="D4:D12" si="0">+B4+C4</f>
        <v>-1631.8999999999999</v>
      </c>
    </row>
    <row r="5" spans="1:4" x14ac:dyDescent="0.3">
      <c r="A5" s="93" t="s">
        <v>124</v>
      </c>
      <c r="B5" s="141">
        <v>-3815.7000000000003</v>
      </c>
      <c r="C5" s="141">
        <v>-0.6</v>
      </c>
      <c r="D5" s="141">
        <f t="shared" si="0"/>
        <v>-3816.3</v>
      </c>
    </row>
    <row r="6" spans="1:4" x14ac:dyDescent="0.3">
      <c r="A6" s="93" t="s">
        <v>125</v>
      </c>
      <c r="B6" s="141">
        <v>-1244.7</v>
      </c>
      <c r="C6" s="141">
        <v>-615.29999999999995</v>
      </c>
      <c r="D6" s="141">
        <f t="shared" si="0"/>
        <v>-1860</v>
      </c>
    </row>
    <row r="7" spans="1:4" x14ac:dyDescent="0.3">
      <c r="A7" s="93" t="s">
        <v>127</v>
      </c>
      <c r="B7" s="141">
        <v>-1126.8</v>
      </c>
      <c r="C7" s="141">
        <v>-269.2</v>
      </c>
      <c r="D7" s="141">
        <f t="shared" si="0"/>
        <v>-1396</v>
      </c>
    </row>
    <row r="8" spans="1:4" x14ac:dyDescent="0.3">
      <c r="A8" s="93" t="s">
        <v>128</v>
      </c>
      <c r="B8" s="141">
        <v>-556.29999999999995</v>
      </c>
      <c r="C8" s="141">
        <v>-623.29999999999995</v>
      </c>
      <c r="D8" s="141">
        <f t="shared" si="0"/>
        <v>-1179.5999999999999</v>
      </c>
    </row>
    <row r="9" spans="1:4" x14ac:dyDescent="0.3">
      <c r="A9" s="93" t="s">
        <v>129</v>
      </c>
      <c r="B9" s="141">
        <v>-543.4</v>
      </c>
      <c r="C9" s="141">
        <v>-286.2</v>
      </c>
      <c r="D9" s="141">
        <f t="shared" si="0"/>
        <v>-829.59999999999991</v>
      </c>
    </row>
    <row r="10" spans="1:4" x14ac:dyDescent="0.3">
      <c r="A10" s="93" t="s">
        <v>130</v>
      </c>
      <c r="B10" s="141">
        <v>-321.8</v>
      </c>
      <c r="C10" s="141">
        <v>-30.8</v>
      </c>
      <c r="D10" s="141">
        <f t="shared" si="0"/>
        <v>-352.6</v>
      </c>
    </row>
    <row r="11" spans="1:4" x14ac:dyDescent="0.3">
      <c r="A11" s="93" t="s">
        <v>131</v>
      </c>
      <c r="B11" s="141">
        <v>-606.4</v>
      </c>
      <c r="C11" s="141">
        <v>-3.8</v>
      </c>
      <c r="D11" s="141">
        <f t="shared" si="0"/>
        <v>-610.19999999999993</v>
      </c>
    </row>
    <row r="12" spans="1:4" x14ac:dyDescent="0.3">
      <c r="A12" s="93" t="s">
        <v>126</v>
      </c>
      <c r="B12" s="141">
        <v>-2379.6</v>
      </c>
      <c r="C12" s="141">
        <v>-525.6</v>
      </c>
      <c r="D12" s="141">
        <f t="shared" si="0"/>
        <v>-2905.2</v>
      </c>
    </row>
    <row r="13" spans="1:4" x14ac:dyDescent="0.3">
      <c r="A13" s="3" t="s">
        <v>80</v>
      </c>
      <c r="B13" s="118">
        <f>SUM(B3:B12)</f>
        <v>-12767.999999999998</v>
      </c>
      <c r="C13" s="118">
        <f>SUM(C3:C12)</f>
        <v>-2360.1</v>
      </c>
      <c r="D13" s="118">
        <f>SUM(D3:D12)</f>
        <v>-15128.100000000002</v>
      </c>
    </row>
    <row r="14" spans="1:4" ht="6" customHeight="1" x14ac:dyDescent="0.3">
      <c r="A14" s="101"/>
      <c r="B14" s="109"/>
      <c r="C14" s="109"/>
      <c r="D14" s="109"/>
    </row>
    <row r="15" spans="1:4" x14ac:dyDescent="0.3">
      <c r="B15" s="11"/>
      <c r="C15" s="50"/>
    </row>
    <row r="16" spans="1:4" x14ac:dyDescent="0.3">
      <c r="B16" s="11"/>
      <c r="C16" s="50"/>
    </row>
    <row r="17" spans="2:3" x14ac:dyDescent="0.3">
      <c r="B17" s="11"/>
      <c r="C17" s="50"/>
    </row>
    <row r="18" spans="2:3" x14ac:dyDescent="0.3">
      <c r="B18" s="11"/>
      <c r="C18" s="50"/>
    </row>
    <row r="19" spans="2:3" x14ac:dyDescent="0.3">
      <c r="B19" s="11"/>
      <c r="C19" s="50"/>
    </row>
    <row r="20" spans="2:3" x14ac:dyDescent="0.3">
      <c r="B20" s="11"/>
      <c r="C20" s="50"/>
    </row>
    <row r="21" spans="2:3" x14ac:dyDescent="0.3">
      <c r="B21" s="11"/>
      <c r="C21" s="50"/>
    </row>
    <row r="22" spans="2:3" x14ac:dyDescent="0.3">
      <c r="B22" s="11"/>
      <c r="C22" s="50"/>
    </row>
    <row r="23" spans="2:3" x14ac:dyDescent="0.3">
      <c r="B23" s="11"/>
      <c r="C23" s="50"/>
    </row>
    <row r="24" spans="2:3" x14ac:dyDescent="0.3">
      <c r="B24" s="11"/>
      <c r="C24" s="50"/>
    </row>
    <row r="25" spans="2:3" x14ac:dyDescent="0.3">
      <c r="B25" s="11"/>
      <c r="C25" s="50"/>
    </row>
    <row r="26" spans="2:3" x14ac:dyDescent="0.3">
      <c r="B26" s="11"/>
      <c r="C26" s="50"/>
    </row>
    <row r="27" spans="2:3" x14ac:dyDescent="0.3">
      <c r="B27" s="11"/>
      <c r="C27" s="50"/>
    </row>
    <row r="28" spans="2:3" x14ac:dyDescent="0.3">
      <c r="B28" s="11"/>
      <c r="C28" s="50"/>
    </row>
    <row r="29" spans="2:3" x14ac:dyDescent="0.3">
      <c r="B29" s="11"/>
      <c r="C29" s="50"/>
    </row>
    <row r="30" spans="2:3" x14ac:dyDescent="0.3">
      <c r="B30" s="11"/>
      <c r="C30" s="50"/>
    </row>
    <row r="31" spans="2:3" x14ac:dyDescent="0.3">
      <c r="B31" s="11"/>
      <c r="C31" s="50"/>
    </row>
    <row r="32" spans="2:3" x14ac:dyDescent="0.3">
      <c r="B32" s="11"/>
      <c r="C32" s="50"/>
    </row>
    <row r="33" spans="1:6" x14ac:dyDescent="0.3">
      <c r="B33" s="11"/>
      <c r="C33" s="50"/>
    </row>
    <row r="34" spans="1:6" x14ac:dyDescent="0.3">
      <c r="B34" s="11"/>
      <c r="C34" s="50"/>
    </row>
    <row r="35" spans="1:6" x14ac:dyDescent="0.3">
      <c r="B35" s="11"/>
      <c r="C35" s="50"/>
    </row>
    <row r="36" spans="1:6" x14ac:dyDescent="0.3">
      <c r="B36" s="11"/>
      <c r="C36" s="50"/>
    </row>
    <row r="37" spans="1:6" x14ac:dyDescent="0.3">
      <c r="B37" s="11"/>
      <c r="C37" s="50"/>
    </row>
    <row r="38" spans="1:6" s="11" customFormat="1" x14ac:dyDescent="0.3">
      <c r="A38" s="51"/>
      <c r="B38" s="51"/>
      <c r="C38" s="51"/>
    </row>
    <row r="39" spans="1:6" ht="1.5" customHeight="1" x14ac:dyDescent="0.3"/>
    <row r="40" spans="1:6" ht="19.5" customHeight="1" x14ac:dyDescent="0.3">
      <c r="B40" s="11"/>
    </row>
    <row r="41" spans="1:6" x14ac:dyDescent="0.3">
      <c r="B41" s="50"/>
    </row>
    <row r="42" spans="1:6" x14ac:dyDescent="0.3">
      <c r="E42" s="50"/>
    </row>
    <row r="44" spans="1:6" x14ac:dyDescent="0.3">
      <c r="B44" s="11"/>
    </row>
    <row r="45" spans="1:6" x14ac:dyDescent="0.3">
      <c r="B45" s="72"/>
      <c r="D45" s="72"/>
      <c r="E45" s="72"/>
      <c r="F45" s="9"/>
    </row>
    <row r="46" spans="1:6" s="11" customFormat="1" x14ac:dyDescent="0.3"/>
    <row r="47" spans="1:6" ht="4" customHeight="1" x14ac:dyDescent="0.3"/>
    <row r="48" spans="1:6" ht="26.25" customHeight="1" x14ac:dyDescent="0.3"/>
    <row r="49" spans="3:7" s="71" customFormat="1" ht="23.15" customHeight="1" x14ac:dyDescent="0.3">
      <c r="C49" s="206"/>
      <c r="D49" s="206"/>
      <c r="E49" s="206"/>
      <c r="F49" s="206"/>
      <c r="G49" s="206"/>
    </row>
    <row r="50" spans="3:7" ht="24" customHeight="1" x14ac:dyDescent="0.3">
      <c r="C50" s="206"/>
      <c r="D50" s="206"/>
      <c r="E50" s="206"/>
      <c r="F50" s="206"/>
      <c r="G50" s="206"/>
    </row>
    <row r="51" spans="3:7" ht="14.25" customHeight="1" x14ac:dyDescent="0.3"/>
  </sheetData>
  <mergeCells count="2">
    <mergeCell ref="C49:G49"/>
    <mergeCell ref="C50:G5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5A197-DA46-4DA3-9F5C-268AD2F92D31}">
  <sheetPr codeName="Sheet13"/>
  <dimension ref="A1:H56"/>
  <sheetViews>
    <sheetView workbookViewId="0">
      <selection activeCell="I56" sqref="I56"/>
    </sheetView>
  </sheetViews>
  <sheetFormatPr defaultColWidth="9.1796875" defaultRowHeight="12" x14ac:dyDescent="0.3"/>
  <cols>
    <col min="1" max="1" width="46.81640625" style="4" customWidth="1"/>
    <col min="2" max="3" width="12" style="4" customWidth="1"/>
    <col min="4" max="4" width="12.1796875" style="4" customWidth="1"/>
    <col min="5" max="5" width="7.81640625" style="4" bestFit="1" customWidth="1"/>
    <col min="6" max="7" width="9.1796875" style="4"/>
    <col min="8" max="8" width="44.453125" style="4" bestFit="1" customWidth="1"/>
    <col min="9" max="16384" width="9.1796875" style="4"/>
  </cols>
  <sheetData>
    <row r="1" spans="1:5" ht="25.5" x14ac:dyDescent="0.3">
      <c r="A1" s="99" t="s">
        <v>39</v>
      </c>
      <c r="B1" s="100" t="s">
        <v>417</v>
      </c>
      <c r="C1" s="100" t="s">
        <v>418</v>
      </c>
      <c r="D1" s="100" t="s">
        <v>222</v>
      </c>
      <c r="E1" s="100" t="s">
        <v>223</v>
      </c>
    </row>
    <row r="2" spans="1:5" ht="5.5" customHeight="1" x14ac:dyDescent="0.3">
      <c r="A2" s="101"/>
      <c r="B2" s="101"/>
      <c r="C2" s="101"/>
      <c r="D2" s="101"/>
      <c r="E2" s="101"/>
    </row>
    <row r="3" spans="1:5" x14ac:dyDescent="0.3">
      <c r="A3" s="93" t="s">
        <v>207</v>
      </c>
      <c r="B3" s="94">
        <v>6917.9999999999991</v>
      </c>
      <c r="C3" s="94">
        <v>6630.9</v>
      </c>
      <c r="D3" s="94">
        <f>C3-B3</f>
        <v>-287.09999999999945</v>
      </c>
      <c r="E3" s="95">
        <f>D3/B3*100</f>
        <v>-4.1500433651344242</v>
      </c>
    </row>
    <row r="4" spans="1:5" x14ac:dyDescent="0.3">
      <c r="A4" s="93" t="s">
        <v>208</v>
      </c>
      <c r="B4" s="94">
        <v>4273.3999999999996</v>
      </c>
      <c r="C4" s="94">
        <v>4269.7</v>
      </c>
      <c r="D4" s="94">
        <f t="shared" ref="D4:D36" si="0">C4-B4</f>
        <v>-3.6999999999998181</v>
      </c>
      <c r="E4" s="95">
        <f t="shared" ref="E4:E36" si="1">D4/B4*100</f>
        <v>-8.6582112603543274E-2</v>
      </c>
    </row>
    <row r="5" spans="1:5" x14ac:dyDescent="0.3">
      <c r="A5" s="93" t="s">
        <v>194</v>
      </c>
      <c r="B5" s="94">
        <v>3098.2000000000003</v>
      </c>
      <c r="C5" s="94">
        <v>3110.2</v>
      </c>
      <c r="D5" s="94">
        <f t="shared" si="0"/>
        <v>11.999999999999545</v>
      </c>
      <c r="E5" s="95">
        <f t="shared" si="1"/>
        <v>0.38732167064745804</v>
      </c>
    </row>
    <row r="6" spans="1:5" x14ac:dyDescent="0.3">
      <c r="A6" s="93" t="s">
        <v>167</v>
      </c>
      <c r="B6" s="94">
        <v>19225.800000000003</v>
      </c>
      <c r="C6" s="94">
        <v>22816.899999999998</v>
      </c>
      <c r="D6" s="94">
        <f t="shared" si="0"/>
        <v>3591.0999999999949</v>
      </c>
      <c r="E6" s="95">
        <f t="shared" si="1"/>
        <v>18.678546536424985</v>
      </c>
    </row>
    <row r="7" spans="1:5" x14ac:dyDescent="0.3">
      <c r="A7" s="93" t="s">
        <v>169</v>
      </c>
      <c r="B7" s="94">
        <v>31199.69999999999</v>
      </c>
      <c r="C7" s="94">
        <v>28902.599999999995</v>
      </c>
      <c r="D7" s="94">
        <f t="shared" si="0"/>
        <v>-2297.0999999999949</v>
      </c>
      <c r="E7" s="95">
        <f t="shared" si="1"/>
        <v>-7.3625707939499279</v>
      </c>
    </row>
    <row r="8" spans="1:5" x14ac:dyDescent="0.3">
      <c r="A8" s="93" t="s">
        <v>209</v>
      </c>
      <c r="B8" s="94">
        <v>3360.5000000000005</v>
      </c>
      <c r="C8" s="94">
        <v>3299.9</v>
      </c>
      <c r="D8" s="94">
        <f t="shared" si="0"/>
        <v>-60.600000000000364</v>
      </c>
      <c r="E8" s="95">
        <f t="shared" si="1"/>
        <v>-1.8033030798988352</v>
      </c>
    </row>
    <row r="9" spans="1:5" x14ac:dyDescent="0.3">
      <c r="A9" s="93" t="s">
        <v>171</v>
      </c>
      <c r="B9" s="94">
        <v>37697.1</v>
      </c>
      <c r="C9" s="94">
        <v>37375.199999999997</v>
      </c>
      <c r="D9" s="94">
        <f t="shared" si="0"/>
        <v>-321.90000000000146</v>
      </c>
      <c r="E9" s="95">
        <f t="shared" si="1"/>
        <v>-0.85391183937226323</v>
      </c>
    </row>
    <row r="10" spans="1:5" x14ac:dyDescent="0.3">
      <c r="A10" s="93" t="s">
        <v>172</v>
      </c>
      <c r="B10" s="94">
        <v>4596.2000000000007</v>
      </c>
      <c r="C10" s="94">
        <v>4245.2000000000007</v>
      </c>
      <c r="D10" s="94">
        <f t="shared" si="0"/>
        <v>-351</v>
      </c>
      <c r="E10" s="95">
        <f t="shared" si="1"/>
        <v>-7.6367433967190275</v>
      </c>
    </row>
    <row r="11" spans="1:5" x14ac:dyDescent="0.3">
      <c r="A11" s="93" t="s">
        <v>174</v>
      </c>
      <c r="B11" s="94">
        <v>44467.799999999996</v>
      </c>
      <c r="C11" s="94">
        <v>48204.499999999993</v>
      </c>
      <c r="D11" s="94">
        <f t="shared" si="0"/>
        <v>3736.6999999999971</v>
      </c>
      <c r="E11" s="95">
        <f t="shared" si="1"/>
        <v>8.4031591398719918</v>
      </c>
    </row>
    <row r="12" spans="1:5" x14ac:dyDescent="0.3">
      <c r="A12" s="93" t="s">
        <v>195</v>
      </c>
      <c r="B12" s="94">
        <v>26160.799999999999</v>
      </c>
      <c r="C12" s="94">
        <v>22676.200000000004</v>
      </c>
      <c r="D12" s="94">
        <f t="shared" si="0"/>
        <v>-3484.5999999999949</v>
      </c>
      <c r="E12" s="95">
        <f t="shared" si="1"/>
        <v>-13.319929054157345</v>
      </c>
    </row>
    <row r="13" spans="1:5" x14ac:dyDescent="0.3">
      <c r="A13" s="93" t="s">
        <v>176</v>
      </c>
      <c r="B13" s="94">
        <v>66128</v>
      </c>
      <c r="C13" s="94">
        <v>75153.60000000002</v>
      </c>
      <c r="D13" s="94">
        <f t="shared" si="0"/>
        <v>9025.6000000000204</v>
      </c>
      <c r="E13" s="95">
        <f t="shared" si="1"/>
        <v>13.648681345269811</v>
      </c>
    </row>
    <row r="14" spans="1:5" x14ac:dyDescent="0.3">
      <c r="A14" s="93" t="s">
        <v>177</v>
      </c>
      <c r="B14" s="94">
        <v>25228.5</v>
      </c>
      <c r="C14" s="94">
        <v>24753.8</v>
      </c>
      <c r="D14" s="94">
        <f t="shared" si="0"/>
        <v>-474.70000000000073</v>
      </c>
      <c r="E14" s="95">
        <f t="shared" si="1"/>
        <v>-1.8816021562914989</v>
      </c>
    </row>
    <row r="15" spans="1:5" x14ac:dyDescent="0.3">
      <c r="A15" s="93" t="s">
        <v>178</v>
      </c>
      <c r="B15" s="94">
        <v>8289.6</v>
      </c>
      <c r="C15" s="94">
        <v>8551.3000000000011</v>
      </c>
      <c r="D15" s="94">
        <f t="shared" si="0"/>
        <v>261.70000000000073</v>
      </c>
      <c r="E15" s="95">
        <f t="shared" si="1"/>
        <v>3.156967766840387</v>
      </c>
    </row>
    <row r="16" spans="1:5" x14ac:dyDescent="0.3">
      <c r="A16" s="93" t="s">
        <v>179</v>
      </c>
      <c r="B16" s="94">
        <v>2417.3000000000002</v>
      </c>
      <c r="C16" s="94">
        <v>2386.8000000000002</v>
      </c>
      <c r="D16" s="94">
        <f t="shared" si="0"/>
        <v>-30.5</v>
      </c>
      <c r="E16" s="95">
        <f t="shared" si="1"/>
        <v>-1.2617383030654035</v>
      </c>
    </row>
    <row r="17" spans="1:5" x14ac:dyDescent="0.3">
      <c r="A17" s="93" t="s">
        <v>196</v>
      </c>
      <c r="B17" s="94">
        <v>13820.700000000003</v>
      </c>
      <c r="C17" s="94">
        <v>11495.699999999999</v>
      </c>
      <c r="D17" s="94">
        <f t="shared" si="0"/>
        <v>-2325.0000000000036</v>
      </c>
      <c r="E17" s="95">
        <f t="shared" si="1"/>
        <v>-16.822592198658555</v>
      </c>
    </row>
    <row r="18" spans="1:5" x14ac:dyDescent="0.3">
      <c r="A18" s="93" t="s">
        <v>210</v>
      </c>
      <c r="B18" s="94">
        <v>4459.7</v>
      </c>
      <c r="C18" s="94">
        <v>4858.6000000000004</v>
      </c>
      <c r="D18" s="94">
        <f t="shared" si="0"/>
        <v>398.90000000000055</v>
      </c>
      <c r="E18" s="95">
        <f t="shared" si="1"/>
        <v>8.9445478395407889</v>
      </c>
    </row>
    <row r="19" spans="1:5" x14ac:dyDescent="0.3">
      <c r="A19" s="93" t="s">
        <v>198</v>
      </c>
      <c r="B19" s="94">
        <v>38148.199999999997</v>
      </c>
      <c r="C19" s="94">
        <v>39753.800000000003</v>
      </c>
      <c r="D19" s="94">
        <f t="shared" si="0"/>
        <v>1605.6000000000058</v>
      </c>
      <c r="E19" s="95">
        <f t="shared" si="1"/>
        <v>4.2088486481669021</v>
      </c>
    </row>
    <row r="20" spans="1:5" x14ac:dyDescent="0.3">
      <c r="A20" s="93" t="s">
        <v>180</v>
      </c>
      <c r="B20" s="94">
        <v>24231.7</v>
      </c>
      <c r="C20" s="94">
        <v>24357.100000000002</v>
      </c>
      <c r="D20" s="94">
        <f t="shared" si="0"/>
        <v>125.40000000000146</v>
      </c>
      <c r="E20" s="95">
        <f t="shared" si="1"/>
        <v>0.51750393080139423</v>
      </c>
    </row>
    <row r="21" spans="1:5" x14ac:dyDescent="0.3">
      <c r="A21" s="93" t="s">
        <v>181</v>
      </c>
      <c r="B21" s="94">
        <v>7149.2</v>
      </c>
      <c r="C21" s="94">
        <v>7471.5</v>
      </c>
      <c r="D21" s="94">
        <f t="shared" si="0"/>
        <v>322.30000000000018</v>
      </c>
      <c r="E21" s="95">
        <f t="shared" si="1"/>
        <v>4.508196721311478</v>
      </c>
    </row>
    <row r="22" spans="1:5" x14ac:dyDescent="0.3">
      <c r="A22" s="93" t="s">
        <v>182</v>
      </c>
      <c r="B22" s="94">
        <v>49118.700000000012</v>
      </c>
      <c r="C22" s="94">
        <v>50068.799999999996</v>
      </c>
      <c r="D22" s="94">
        <f t="shared" si="0"/>
        <v>950.09999999998399</v>
      </c>
      <c r="E22" s="95">
        <f t="shared" si="1"/>
        <v>1.9342938636404949</v>
      </c>
    </row>
    <row r="23" spans="1:5" x14ac:dyDescent="0.3">
      <c r="A23" s="93" t="s">
        <v>184</v>
      </c>
      <c r="B23" s="94">
        <v>69454</v>
      </c>
      <c r="C23" s="94">
        <v>70446</v>
      </c>
      <c r="D23" s="94">
        <f t="shared" si="0"/>
        <v>992</v>
      </c>
      <c r="E23" s="95">
        <f t="shared" si="1"/>
        <v>1.4282834681947763</v>
      </c>
    </row>
    <row r="24" spans="1:5" x14ac:dyDescent="0.3">
      <c r="A24" s="93" t="s">
        <v>211</v>
      </c>
      <c r="B24" s="94">
        <v>7035</v>
      </c>
      <c r="C24" s="94">
        <v>6603.6</v>
      </c>
      <c r="D24" s="94">
        <f t="shared" si="0"/>
        <v>-431.39999999999964</v>
      </c>
      <c r="E24" s="95">
        <f t="shared" si="1"/>
        <v>-6.1321961620469034</v>
      </c>
    </row>
    <row r="25" spans="1:5" x14ac:dyDescent="0.3">
      <c r="A25" s="93" t="s">
        <v>185</v>
      </c>
      <c r="B25" s="94">
        <v>174322.90000000002</v>
      </c>
      <c r="C25" s="94">
        <v>186233.2</v>
      </c>
      <c r="D25" s="94">
        <f t="shared" si="0"/>
        <v>11910.299999999988</v>
      </c>
      <c r="E25" s="95">
        <f t="shared" si="1"/>
        <v>6.8323209400486027</v>
      </c>
    </row>
    <row r="26" spans="1:5" x14ac:dyDescent="0.3">
      <c r="A26" s="93" t="s">
        <v>187</v>
      </c>
      <c r="B26" s="94">
        <v>97067.499999999985</v>
      </c>
      <c r="C26" s="94">
        <v>99079.700000000012</v>
      </c>
      <c r="D26" s="94">
        <f t="shared" si="0"/>
        <v>2012.2000000000262</v>
      </c>
      <c r="E26" s="95">
        <f t="shared" si="1"/>
        <v>2.0729904447935987</v>
      </c>
    </row>
    <row r="27" spans="1:5" x14ac:dyDescent="0.3">
      <c r="A27" s="93" t="s">
        <v>188</v>
      </c>
      <c r="B27" s="94">
        <v>87561.600000000006</v>
      </c>
      <c r="C27" s="94">
        <v>91234.89999999998</v>
      </c>
      <c r="D27" s="94">
        <f t="shared" si="0"/>
        <v>3673.2999999999738</v>
      </c>
      <c r="E27" s="95">
        <f t="shared" si="1"/>
        <v>4.1951037897891013</v>
      </c>
    </row>
    <row r="28" spans="1:5" x14ac:dyDescent="0.3">
      <c r="A28" s="93" t="s">
        <v>212</v>
      </c>
      <c r="B28" s="94">
        <v>44147.399999999994</v>
      </c>
      <c r="C28" s="94">
        <v>46506.2</v>
      </c>
      <c r="D28" s="94">
        <f t="shared" si="0"/>
        <v>2358.8000000000029</v>
      </c>
      <c r="E28" s="95">
        <f t="shared" si="1"/>
        <v>5.3430100073843603</v>
      </c>
    </row>
    <row r="29" spans="1:5" x14ac:dyDescent="0.3">
      <c r="A29" s="93" t="s">
        <v>213</v>
      </c>
      <c r="B29" s="94">
        <v>112523.20000000001</v>
      </c>
      <c r="C29" s="94">
        <v>127276.8</v>
      </c>
      <c r="D29" s="94">
        <f t="shared" si="0"/>
        <v>14753.599999999991</v>
      </c>
      <c r="E29" s="95">
        <f t="shared" si="1"/>
        <v>13.111607206336107</v>
      </c>
    </row>
    <row r="30" spans="1:5" x14ac:dyDescent="0.3">
      <c r="A30" s="93" t="s">
        <v>214</v>
      </c>
      <c r="B30" s="94">
        <v>121569.90000000001</v>
      </c>
      <c r="C30" s="94">
        <v>122424.90000000001</v>
      </c>
      <c r="D30" s="94">
        <f t="shared" si="0"/>
        <v>855</v>
      </c>
      <c r="E30" s="95">
        <f t="shared" si="1"/>
        <v>0.70329908965952914</v>
      </c>
    </row>
    <row r="31" spans="1:5" x14ac:dyDescent="0.3">
      <c r="A31" s="93" t="s">
        <v>189</v>
      </c>
      <c r="B31" s="94">
        <v>75711</v>
      </c>
      <c r="C31" s="94">
        <v>81578.500000000015</v>
      </c>
      <c r="D31" s="94">
        <f t="shared" si="0"/>
        <v>5867.5000000000146</v>
      </c>
      <c r="E31" s="95">
        <f t="shared" si="1"/>
        <v>7.7498646167664065</v>
      </c>
    </row>
    <row r="32" spans="1:5" x14ac:dyDescent="0.3">
      <c r="A32" s="93" t="s">
        <v>200</v>
      </c>
      <c r="B32" s="94">
        <v>8281.5</v>
      </c>
      <c r="C32" s="94">
        <v>9012.8000000000011</v>
      </c>
      <c r="D32" s="94">
        <f t="shared" si="0"/>
        <v>731.30000000000109</v>
      </c>
      <c r="E32" s="95">
        <f t="shared" si="1"/>
        <v>8.8305258709171177</v>
      </c>
    </row>
    <row r="33" spans="1:5" x14ac:dyDescent="0.3">
      <c r="A33" s="93" t="s">
        <v>215</v>
      </c>
      <c r="B33" s="94">
        <v>27851.1</v>
      </c>
      <c r="C33" s="94">
        <v>25718.300000000003</v>
      </c>
      <c r="D33" s="94">
        <f t="shared" si="0"/>
        <v>-2132.7999999999956</v>
      </c>
      <c r="E33" s="95">
        <f t="shared" si="1"/>
        <v>-7.6578662961247339</v>
      </c>
    </row>
    <row r="34" spans="1:5" x14ac:dyDescent="0.3">
      <c r="A34" s="93" t="s">
        <v>201</v>
      </c>
      <c r="B34" s="94">
        <v>12521</v>
      </c>
      <c r="C34" s="94">
        <v>12500.900000000003</v>
      </c>
      <c r="D34" s="94">
        <f t="shared" si="0"/>
        <v>-20.099999999996726</v>
      </c>
      <c r="E34" s="95">
        <f t="shared" si="1"/>
        <v>-0.16053030908071822</v>
      </c>
    </row>
    <row r="35" spans="1:5" x14ac:dyDescent="0.3">
      <c r="A35" s="93" t="s">
        <v>217</v>
      </c>
      <c r="B35" s="94">
        <v>17522.7</v>
      </c>
      <c r="C35" s="94">
        <v>20128.099999999999</v>
      </c>
      <c r="D35" s="94">
        <f t="shared" si="0"/>
        <v>2605.3999999999978</v>
      </c>
      <c r="E35" s="95">
        <f t="shared" si="1"/>
        <v>14.868713154936156</v>
      </c>
    </row>
    <row r="36" spans="1:5" x14ac:dyDescent="0.3">
      <c r="A36" s="93" t="s">
        <v>190</v>
      </c>
      <c r="B36" s="94">
        <v>15010.300000000001</v>
      </c>
      <c r="C36" s="94">
        <v>16372.5</v>
      </c>
      <c r="D36" s="94">
        <f t="shared" si="0"/>
        <v>1362.1999999999989</v>
      </c>
      <c r="E36" s="95">
        <f t="shared" si="1"/>
        <v>9.075101763455752</v>
      </c>
    </row>
    <row r="37" spans="1:5" x14ac:dyDescent="0.3">
      <c r="A37" s="3" t="s">
        <v>419</v>
      </c>
      <c r="B37" s="126">
        <f>SUM(B3:B36)</f>
        <v>1290568.2</v>
      </c>
      <c r="C37" s="126">
        <f>SUM(C3:C36)</f>
        <v>1345498.6999999997</v>
      </c>
      <c r="D37" s="126">
        <f>SUM(D3:D36)</f>
        <v>54930.500000000015</v>
      </c>
      <c r="E37" s="135">
        <f>D37/B37*100</f>
        <v>4.2563035413393893</v>
      </c>
    </row>
    <row r="38" spans="1:5" ht="4.4000000000000004" customHeight="1" x14ac:dyDescent="0.3">
      <c r="A38" s="101"/>
      <c r="B38" s="101"/>
      <c r="C38" s="101"/>
      <c r="D38" s="101"/>
      <c r="E38" s="101"/>
    </row>
    <row r="39" spans="1:5" s="11" customFormat="1" x14ac:dyDescent="0.3">
      <c r="A39" s="93" t="s">
        <v>420</v>
      </c>
      <c r="B39" s="94">
        <v>153475.70000000001</v>
      </c>
      <c r="C39" s="94">
        <v>157777.4</v>
      </c>
      <c r="D39" s="94">
        <f>C39-B39</f>
        <v>4301.6999999999825</v>
      </c>
      <c r="E39" s="95">
        <f>D39/B39*100</f>
        <v>2.8028541326086032</v>
      </c>
    </row>
    <row r="40" spans="1:5" x14ac:dyDescent="0.3">
      <c r="A40" s="9" t="s">
        <v>421</v>
      </c>
      <c r="B40" s="94">
        <f>+B42-B37-B39-B41</f>
        <v>-80965.591064999637</v>
      </c>
      <c r="C40" s="94">
        <f>+C42-C37-C39-C41</f>
        <v>-84474.205600000161</v>
      </c>
      <c r="D40" s="94">
        <f>C40-B40</f>
        <v>-3508.6145350005245</v>
      </c>
      <c r="E40" s="95">
        <f t="shared" ref="E40:E45" si="2">D40/B40*100</f>
        <v>4.3334637453381761</v>
      </c>
    </row>
    <row r="41" spans="1:5" ht="14.25" customHeight="1" x14ac:dyDescent="0.3">
      <c r="A41" s="93" t="s">
        <v>422</v>
      </c>
      <c r="B41" s="94">
        <v>0</v>
      </c>
      <c r="C41" s="94">
        <v>43521.599999999955</v>
      </c>
      <c r="D41" s="146">
        <v>0</v>
      </c>
      <c r="E41" s="146">
        <v>0</v>
      </c>
    </row>
    <row r="42" spans="1:5" x14ac:dyDescent="0.3">
      <c r="A42" s="3" t="s">
        <v>220</v>
      </c>
      <c r="B42" s="126">
        <f>+B45-B43-B44</f>
        <v>1363078.3089350003</v>
      </c>
      <c r="C42" s="126">
        <f>+C45-C43-C44</f>
        <v>1462323.4943999995</v>
      </c>
      <c r="D42" s="126">
        <f>C42-B42</f>
        <v>99245.185464999173</v>
      </c>
      <c r="E42" s="135">
        <f t="shared" si="2"/>
        <v>7.2809599283067881</v>
      </c>
    </row>
    <row r="43" spans="1:5" x14ac:dyDescent="0.3">
      <c r="A43" s="93" t="s">
        <v>8</v>
      </c>
      <c r="B43" s="94">
        <v>101595.6</v>
      </c>
      <c r="C43" s="94">
        <v>125388.6</v>
      </c>
      <c r="D43" s="94">
        <f>C43-B43</f>
        <v>23793</v>
      </c>
      <c r="E43" s="95">
        <f t="shared" si="2"/>
        <v>23.419321309190554</v>
      </c>
    </row>
    <row r="44" spans="1:5" ht="13.5" x14ac:dyDescent="0.3">
      <c r="A44" s="92" t="s">
        <v>423</v>
      </c>
      <c r="B44" s="94">
        <v>18554.028371674085</v>
      </c>
      <c r="C44" s="94">
        <v>18870.766367476794</v>
      </c>
      <c r="D44" s="94">
        <f>C44-B44</f>
        <v>316.73799580270861</v>
      </c>
      <c r="E44" s="94">
        <f t="shared" si="2"/>
        <v>1.7071117358334089</v>
      </c>
    </row>
    <row r="45" spans="1:5" x14ac:dyDescent="0.3">
      <c r="A45" s="3" t="s">
        <v>221</v>
      </c>
      <c r="B45" s="126">
        <v>1483227.9373066744</v>
      </c>
      <c r="C45" s="126">
        <v>1606582.8607674765</v>
      </c>
      <c r="D45" s="126">
        <f>C45-B45</f>
        <v>123354.92346080206</v>
      </c>
      <c r="E45" s="135">
        <f t="shared" si="2"/>
        <v>8.316653183110656</v>
      </c>
    </row>
    <row r="46" spans="1:5" ht="4.4000000000000004" customHeight="1" x14ac:dyDescent="0.3">
      <c r="A46" s="101"/>
      <c r="B46" s="101"/>
      <c r="C46" s="101"/>
      <c r="D46" s="101"/>
      <c r="E46" s="101"/>
    </row>
    <row r="47" spans="1:5" ht="12" customHeight="1" x14ac:dyDescent="0.3">
      <c r="A47" s="207" t="s">
        <v>424</v>
      </c>
      <c r="B47" s="207"/>
      <c r="C47" s="207"/>
      <c r="D47" s="207"/>
      <c r="E47" s="207"/>
    </row>
    <row r="48" spans="1:5" s="11" customFormat="1" ht="12" customHeight="1" x14ac:dyDescent="0.35">
      <c r="A48" s="207" t="s">
        <v>425</v>
      </c>
      <c r="B48" s="207"/>
      <c r="C48" s="207"/>
      <c r="D48" s="207"/>
      <c r="E48" s="207"/>
    </row>
    <row r="49" spans="1:8" ht="12" customHeight="1" x14ac:dyDescent="0.3">
      <c r="A49" s="207" t="s">
        <v>426</v>
      </c>
      <c r="B49" s="207"/>
      <c r="C49" s="207"/>
      <c r="D49" s="207"/>
      <c r="E49" s="207"/>
    </row>
    <row r="50" spans="1:8" ht="12" customHeight="1" x14ac:dyDescent="0.3">
      <c r="A50" s="207" t="s">
        <v>427</v>
      </c>
      <c r="B50" s="207"/>
      <c r="C50" s="207"/>
      <c r="D50" s="207"/>
      <c r="E50" s="207"/>
    </row>
    <row r="51" spans="1:8" x14ac:dyDescent="0.3">
      <c r="A51" s="207" t="s">
        <v>428</v>
      </c>
      <c r="B51" s="207"/>
      <c r="C51" s="207"/>
      <c r="D51" s="207"/>
      <c r="E51" s="207"/>
    </row>
    <row r="52" spans="1:8" ht="21.75" customHeight="1" x14ac:dyDescent="0.3"/>
    <row r="53" spans="1:8" ht="21" customHeight="1" x14ac:dyDescent="0.3">
      <c r="D53" s="73"/>
    </row>
    <row r="54" spans="1:8" x14ac:dyDescent="0.3">
      <c r="C54" s="9"/>
    </row>
    <row r="55" spans="1:8" x14ac:dyDescent="0.3">
      <c r="C55" s="9"/>
    </row>
    <row r="56" spans="1:8" x14ac:dyDescent="0.3">
      <c r="H56" s="9"/>
    </row>
  </sheetData>
  <mergeCells count="5">
    <mergeCell ref="A47:E47"/>
    <mergeCell ref="A48:E48"/>
    <mergeCell ref="A49:E49"/>
    <mergeCell ref="A50:E50"/>
    <mergeCell ref="A51:E5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DE31B-36EE-446A-9F28-4308CF95C33A}">
  <sheetPr codeName="Sheet14"/>
  <dimension ref="A1:E53"/>
  <sheetViews>
    <sheetView workbookViewId="0">
      <selection activeCell="N47" sqref="N47"/>
    </sheetView>
  </sheetViews>
  <sheetFormatPr defaultColWidth="9.1796875" defaultRowHeight="13" x14ac:dyDescent="0.3"/>
  <cols>
    <col min="1" max="1" width="64.81640625" style="26" customWidth="1"/>
    <col min="2" max="2" width="11.81640625" style="26" customWidth="1"/>
    <col min="3" max="3" width="10.1796875" style="26" customWidth="1"/>
    <col min="4" max="16384" width="9.1796875" style="26"/>
  </cols>
  <sheetData>
    <row r="1" spans="1:5" ht="48" x14ac:dyDescent="0.3">
      <c r="A1" s="99" t="s">
        <v>39</v>
      </c>
      <c r="B1" s="100" t="s">
        <v>429</v>
      </c>
      <c r="C1" s="100" t="s">
        <v>430</v>
      </c>
      <c r="D1" s="100" t="s">
        <v>205</v>
      </c>
      <c r="E1" s="100" t="s">
        <v>206</v>
      </c>
    </row>
    <row r="2" spans="1:5" x14ac:dyDescent="0.3">
      <c r="A2" s="101"/>
      <c r="B2" s="101"/>
      <c r="C2" s="101"/>
      <c r="D2" s="101"/>
      <c r="E2" s="101"/>
    </row>
    <row r="3" spans="1:5" x14ac:dyDescent="0.3">
      <c r="A3" s="93" t="s">
        <v>207</v>
      </c>
      <c r="B3" s="94">
        <v>6646.2999999999993</v>
      </c>
      <c r="C3" s="94">
        <v>6630.9</v>
      </c>
      <c r="D3" s="94">
        <f>+C3-B3</f>
        <v>-15.399999999999636</v>
      </c>
      <c r="E3" s="95">
        <f>+((C3/B3)-1)*100</f>
        <v>-0.23170786753531347</v>
      </c>
    </row>
    <row r="4" spans="1:5" x14ac:dyDescent="0.3">
      <c r="A4" s="93" t="s">
        <v>208</v>
      </c>
      <c r="B4" s="94">
        <v>4260.0999999999995</v>
      </c>
      <c r="C4" s="94">
        <v>4269.7</v>
      </c>
      <c r="D4" s="94">
        <f t="shared" ref="D4:D37" si="0">+C4-B4</f>
        <v>9.6000000000003638</v>
      </c>
      <c r="E4" s="95">
        <f t="shared" ref="E4:E40" si="1">+((C4/B4)-1)*100</f>
        <v>0.22534682284454099</v>
      </c>
    </row>
    <row r="5" spans="1:5" x14ac:dyDescent="0.3">
      <c r="A5" s="93" t="s">
        <v>194</v>
      </c>
      <c r="B5" s="94">
        <v>3026.2000000000003</v>
      </c>
      <c r="C5" s="94">
        <v>3110.2</v>
      </c>
      <c r="D5" s="94">
        <f t="shared" si="0"/>
        <v>83.999999999999545</v>
      </c>
      <c r="E5" s="95">
        <f t="shared" si="1"/>
        <v>2.77575837684223</v>
      </c>
    </row>
    <row r="6" spans="1:5" x14ac:dyDescent="0.3">
      <c r="A6" s="93" t="s">
        <v>167</v>
      </c>
      <c r="B6" s="94">
        <v>22606.599999999995</v>
      </c>
      <c r="C6" s="94">
        <v>22816.899999999998</v>
      </c>
      <c r="D6" s="94">
        <f t="shared" si="0"/>
        <v>210.30000000000291</v>
      </c>
      <c r="E6" s="95">
        <f t="shared" si="1"/>
        <v>0.93025930480481467</v>
      </c>
    </row>
    <row r="7" spans="1:5" x14ac:dyDescent="0.3">
      <c r="A7" s="93" t="s">
        <v>169</v>
      </c>
      <c r="B7" s="94">
        <v>28889.799999999988</v>
      </c>
      <c r="C7" s="94">
        <v>28902.599999999995</v>
      </c>
      <c r="D7" s="94">
        <f t="shared" si="0"/>
        <v>12.800000000006548</v>
      </c>
      <c r="E7" s="95">
        <f t="shared" si="1"/>
        <v>4.4306294955331893E-2</v>
      </c>
    </row>
    <row r="8" spans="1:5" x14ac:dyDescent="0.3">
      <c r="A8" s="93" t="s">
        <v>209</v>
      </c>
      <c r="B8" s="94">
        <v>3258.5000000000005</v>
      </c>
      <c r="C8" s="94">
        <v>3299.9</v>
      </c>
      <c r="D8" s="94">
        <f t="shared" si="0"/>
        <v>41.399999999999636</v>
      </c>
      <c r="E8" s="95">
        <f t="shared" si="1"/>
        <v>1.2705232468927408</v>
      </c>
    </row>
    <row r="9" spans="1:5" x14ac:dyDescent="0.3">
      <c r="A9" s="93" t="s">
        <v>171</v>
      </c>
      <c r="B9" s="94">
        <v>37297.299999999996</v>
      </c>
      <c r="C9" s="94">
        <v>37375.199999999997</v>
      </c>
      <c r="D9" s="94">
        <f t="shared" si="0"/>
        <v>77.900000000001455</v>
      </c>
      <c r="E9" s="95">
        <f t="shared" si="1"/>
        <v>0.20886230370562586</v>
      </c>
    </row>
    <row r="10" spans="1:5" x14ac:dyDescent="0.3">
      <c r="A10" s="93" t="s">
        <v>172</v>
      </c>
      <c r="B10" s="94">
        <v>4242.2999999999993</v>
      </c>
      <c r="C10" s="94">
        <v>4245.2000000000007</v>
      </c>
      <c r="D10" s="94">
        <f t="shared" si="0"/>
        <v>2.9000000000014552</v>
      </c>
      <c r="E10" s="95">
        <f t="shared" si="1"/>
        <v>6.8359144803564753E-2</v>
      </c>
    </row>
    <row r="11" spans="1:5" x14ac:dyDescent="0.3">
      <c r="A11" s="93" t="s">
        <v>174</v>
      </c>
      <c r="B11" s="94">
        <v>47098.299999999981</v>
      </c>
      <c r="C11" s="94">
        <v>48204.499999999993</v>
      </c>
      <c r="D11" s="94">
        <f t="shared" si="0"/>
        <v>1106.2000000000116</v>
      </c>
      <c r="E11" s="95">
        <f t="shared" si="1"/>
        <v>2.3487047303193842</v>
      </c>
    </row>
    <row r="12" spans="1:5" x14ac:dyDescent="0.3">
      <c r="A12" s="93" t="s">
        <v>195</v>
      </c>
      <c r="B12" s="94">
        <v>22667.200000000008</v>
      </c>
      <c r="C12" s="94">
        <v>22676.200000000004</v>
      </c>
      <c r="D12" s="94">
        <f t="shared" si="0"/>
        <v>8.999999999996362</v>
      </c>
      <c r="E12" s="95">
        <f t="shared" si="1"/>
        <v>3.9704948118846062E-2</v>
      </c>
    </row>
    <row r="13" spans="1:5" x14ac:dyDescent="0.3">
      <c r="A13" s="93" t="s">
        <v>176</v>
      </c>
      <c r="B13" s="94">
        <v>71982.399999999994</v>
      </c>
      <c r="C13" s="94">
        <v>75153.60000000002</v>
      </c>
      <c r="D13" s="94">
        <f t="shared" si="0"/>
        <v>3171.2000000000262</v>
      </c>
      <c r="E13" s="95">
        <f t="shared" si="1"/>
        <v>4.4055213496632772</v>
      </c>
    </row>
    <row r="14" spans="1:5" x14ac:dyDescent="0.3">
      <c r="A14" s="93" t="s">
        <v>177</v>
      </c>
      <c r="B14" s="94">
        <v>24694.499999999993</v>
      </c>
      <c r="C14" s="94">
        <v>24753.8</v>
      </c>
      <c r="D14" s="94">
        <f t="shared" si="0"/>
        <v>59.300000000006548</v>
      </c>
      <c r="E14" s="95">
        <f t="shared" si="1"/>
        <v>0.24013444289217034</v>
      </c>
    </row>
    <row r="15" spans="1:5" x14ac:dyDescent="0.3">
      <c r="A15" s="93" t="s">
        <v>178</v>
      </c>
      <c r="B15" s="94">
        <v>8587.6999999999989</v>
      </c>
      <c r="C15" s="94">
        <v>8551.3000000000011</v>
      </c>
      <c r="D15" s="94">
        <f t="shared" si="0"/>
        <v>-36.399999999997817</v>
      </c>
      <c r="E15" s="95">
        <f t="shared" si="1"/>
        <v>-0.42386203523642196</v>
      </c>
    </row>
    <row r="16" spans="1:5" x14ac:dyDescent="0.3">
      <c r="A16" s="93" t="s">
        <v>179</v>
      </c>
      <c r="B16" s="94">
        <v>2385.4999999999995</v>
      </c>
      <c r="C16" s="94">
        <v>2386.8000000000002</v>
      </c>
      <c r="D16" s="94">
        <f t="shared" si="0"/>
        <v>1.3000000000006366</v>
      </c>
      <c r="E16" s="95">
        <f t="shared" si="1"/>
        <v>5.4495912806573621E-2</v>
      </c>
    </row>
    <row r="17" spans="1:5" x14ac:dyDescent="0.3">
      <c r="A17" s="93" t="s">
        <v>196</v>
      </c>
      <c r="B17" s="94">
        <v>11557.800000000001</v>
      </c>
      <c r="C17" s="94">
        <v>11495.699999999999</v>
      </c>
      <c r="D17" s="94">
        <f t="shared" si="0"/>
        <v>-62.100000000002183</v>
      </c>
      <c r="E17" s="95">
        <f t="shared" si="1"/>
        <v>-0.53729948606138223</v>
      </c>
    </row>
    <row r="18" spans="1:5" x14ac:dyDescent="0.3">
      <c r="A18" s="93" t="s">
        <v>210</v>
      </c>
      <c r="B18" s="94">
        <v>4843.6000000000004</v>
      </c>
      <c r="C18" s="94">
        <v>4858.6000000000004</v>
      </c>
      <c r="D18" s="94">
        <f t="shared" si="0"/>
        <v>15</v>
      </c>
      <c r="E18" s="95">
        <f t="shared" si="1"/>
        <v>0.30968700966222951</v>
      </c>
    </row>
    <row r="19" spans="1:5" x14ac:dyDescent="0.3">
      <c r="A19" s="93" t="s">
        <v>198</v>
      </c>
      <c r="B19" s="94">
        <v>40338.6</v>
      </c>
      <c r="C19" s="94">
        <v>39753.800000000003</v>
      </c>
      <c r="D19" s="94">
        <f t="shared" si="0"/>
        <v>-584.79999999999563</v>
      </c>
      <c r="E19" s="95">
        <f t="shared" si="1"/>
        <v>-1.4497280520394784</v>
      </c>
    </row>
    <row r="20" spans="1:5" x14ac:dyDescent="0.3">
      <c r="A20" s="93" t="s">
        <v>180</v>
      </c>
      <c r="B20" s="94">
        <v>24161.7</v>
      </c>
      <c r="C20" s="94">
        <v>24357.100000000002</v>
      </c>
      <c r="D20" s="94">
        <f t="shared" si="0"/>
        <v>195.40000000000146</v>
      </c>
      <c r="E20" s="95">
        <f t="shared" si="1"/>
        <v>0.80871792961587641</v>
      </c>
    </row>
    <row r="21" spans="1:5" x14ac:dyDescent="0.3">
      <c r="A21" s="93" t="s">
        <v>181</v>
      </c>
      <c r="B21" s="94">
        <v>7451.0999999999995</v>
      </c>
      <c r="C21" s="94">
        <v>7471.5</v>
      </c>
      <c r="D21" s="94">
        <f t="shared" si="0"/>
        <v>20.400000000000546</v>
      </c>
      <c r="E21" s="95">
        <f t="shared" si="1"/>
        <v>0.27378507871320679</v>
      </c>
    </row>
    <row r="22" spans="1:5" x14ac:dyDescent="0.3">
      <c r="A22" s="93" t="s">
        <v>182</v>
      </c>
      <c r="B22" s="94">
        <v>50068.700000000012</v>
      </c>
      <c r="C22" s="94">
        <v>50068.799999999996</v>
      </c>
      <c r="D22" s="94">
        <f t="shared" si="0"/>
        <v>9.9999999983992893E-2</v>
      </c>
      <c r="E22" s="95">
        <f t="shared" si="1"/>
        <v>1.9972557703251681E-4</v>
      </c>
    </row>
    <row r="23" spans="1:5" x14ac:dyDescent="0.3">
      <c r="A23" s="93" t="s">
        <v>184</v>
      </c>
      <c r="B23" s="94">
        <v>70326.899999999994</v>
      </c>
      <c r="C23" s="94">
        <v>70446</v>
      </c>
      <c r="D23" s="94">
        <f t="shared" si="0"/>
        <v>119.10000000000582</v>
      </c>
      <c r="E23" s="95">
        <f t="shared" si="1"/>
        <v>0.16935198338048352</v>
      </c>
    </row>
    <row r="24" spans="1:5" x14ac:dyDescent="0.3">
      <c r="A24" s="93" t="s">
        <v>211</v>
      </c>
      <c r="B24" s="94">
        <v>6594.2</v>
      </c>
      <c r="C24" s="94">
        <v>6603.6</v>
      </c>
      <c r="D24" s="94">
        <f t="shared" si="0"/>
        <v>9.4000000000005457</v>
      </c>
      <c r="E24" s="95">
        <f t="shared" si="1"/>
        <v>0.14254951320857856</v>
      </c>
    </row>
    <row r="25" spans="1:5" x14ac:dyDescent="0.3">
      <c r="A25" s="93" t="s">
        <v>185</v>
      </c>
      <c r="B25" s="94">
        <v>187042</v>
      </c>
      <c r="C25" s="94">
        <v>186233.2</v>
      </c>
      <c r="D25" s="94">
        <f t="shared" si="0"/>
        <v>-808.79999999998836</v>
      </c>
      <c r="E25" s="95">
        <f t="shared" si="1"/>
        <v>-0.43241624875696161</v>
      </c>
    </row>
    <row r="26" spans="1:5" x14ac:dyDescent="0.3">
      <c r="A26" s="93" t="s">
        <v>187</v>
      </c>
      <c r="B26" s="94">
        <v>99703.9</v>
      </c>
      <c r="C26" s="94">
        <v>99079.700000000012</v>
      </c>
      <c r="D26" s="94">
        <f t="shared" si="0"/>
        <v>-624.19999999998254</v>
      </c>
      <c r="E26" s="95">
        <f t="shared" si="1"/>
        <v>-0.62605374513934331</v>
      </c>
    </row>
    <row r="27" spans="1:5" x14ac:dyDescent="0.3">
      <c r="A27" s="93" t="s">
        <v>188</v>
      </c>
      <c r="B27" s="94">
        <v>89718.199999999983</v>
      </c>
      <c r="C27" s="94">
        <v>91234.89999999998</v>
      </c>
      <c r="D27" s="94">
        <f t="shared" si="0"/>
        <v>1516.6999999999971</v>
      </c>
      <c r="E27" s="95">
        <f t="shared" si="1"/>
        <v>1.6905154138179279</v>
      </c>
    </row>
    <row r="28" spans="1:5" x14ac:dyDescent="0.3">
      <c r="A28" s="93" t="s">
        <v>212</v>
      </c>
      <c r="B28" s="94">
        <v>46456.2</v>
      </c>
      <c r="C28" s="94">
        <v>46506.2</v>
      </c>
      <c r="D28" s="94">
        <f t="shared" si="0"/>
        <v>50</v>
      </c>
      <c r="E28" s="95">
        <f t="shared" si="1"/>
        <v>0.10762826059815822</v>
      </c>
    </row>
    <row r="29" spans="1:5" x14ac:dyDescent="0.3">
      <c r="A29" s="93" t="s">
        <v>213</v>
      </c>
      <c r="B29" s="94">
        <v>127837.79999999999</v>
      </c>
      <c r="C29" s="94">
        <v>127276.8</v>
      </c>
      <c r="D29" s="94">
        <f t="shared" si="0"/>
        <v>-560.99999999998545</v>
      </c>
      <c r="E29" s="95">
        <f t="shared" si="1"/>
        <v>-0.43883733919074519</v>
      </c>
    </row>
    <row r="30" spans="1:5" x14ac:dyDescent="0.3">
      <c r="A30" s="93" t="s">
        <v>214</v>
      </c>
      <c r="B30" s="94">
        <v>122424.90000000001</v>
      </c>
      <c r="C30" s="94">
        <v>122424.90000000001</v>
      </c>
      <c r="D30" s="94">
        <f t="shared" si="0"/>
        <v>0</v>
      </c>
      <c r="E30" s="95">
        <f t="shared" si="1"/>
        <v>0</v>
      </c>
    </row>
    <row r="31" spans="1:5" x14ac:dyDescent="0.3">
      <c r="A31" s="93" t="s">
        <v>189</v>
      </c>
      <c r="B31" s="94">
        <v>80892.399999999994</v>
      </c>
      <c r="C31" s="94">
        <v>81578.500000000015</v>
      </c>
      <c r="D31" s="94">
        <f t="shared" si="0"/>
        <v>686.10000000002037</v>
      </c>
      <c r="E31" s="95">
        <f t="shared" si="1"/>
        <v>0.84816373355225405</v>
      </c>
    </row>
    <row r="32" spans="1:5" x14ac:dyDescent="0.3">
      <c r="A32" s="93" t="s">
        <v>200</v>
      </c>
      <c r="B32" s="94">
        <v>7748.0000000000018</v>
      </c>
      <c r="C32" s="94">
        <v>9012.8000000000011</v>
      </c>
      <c r="D32" s="94">
        <f t="shared" si="0"/>
        <v>1264.7999999999993</v>
      </c>
      <c r="E32" s="95">
        <f t="shared" si="1"/>
        <v>16.324212700051621</v>
      </c>
    </row>
    <row r="33" spans="1:5" x14ac:dyDescent="0.3">
      <c r="A33" s="93" t="s">
        <v>215</v>
      </c>
      <c r="B33" s="94">
        <v>24911.200000000001</v>
      </c>
      <c r="C33" s="94">
        <v>25718.300000000003</v>
      </c>
      <c r="D33" s="94">
        <f t="shared" si="0"/>
        <v>807.10000000000218</v>
      </c>
      <c r="E33" s="95">
        <f t="shared" si="1"/>
        <v>3.239908153762161</v>
      </c>
    </row>
    <row r="34" spans="1:5" x14ac:dyDescent="0.3">
      <c r="A34" s="93" t="s">
        <v>201</v>
      </c>
      <c r="B34" s="94">
        <v>12314.4</v>
      </c>
      <c r="C34" s="94">
        <v>12500.900000000003</v>
      </c>
      <c r="D34" s="94">
        <f t="shared" si="0"/>
        <v>186.50000000000364</v>
      </c>
      <c r="E34" s="95">
        <f t="shared" si="1"/>
        <v>1.5144871045280617</v>
      </c>
    </row>
    <row r="35" spans="1:5" x14ac:dyDescent="0.3">
      <c r="A35" s="93" t="s">
        <v>216</v>
      </c>
      <c r="B35" s="147" t="s">
        <v>431</v>
      </c>
      <c r="C35" s="147" t="s">
        <v>431</v>
      </c>
      <c r="D35" s="147">
        <v>0</v>
      </c>
      <c r="E35" s="147">
        <v>0</v>
      </c>
    </row>
    <row r="36" spans="1:5" x14ac:dyDescent="0.3">
      <c r="A36" s="93" t="s">
        <v>217</v>
      </c>
      <c r="B36" s="94">
        <v>20128.499999999996</v>
      </c>
      <c r="C36" s="94">
        <v>20128.099999999999</v>
      </c>
      <c r="D36" s="94">
        <f t="shared" si="0"/>
        <v>-0.39999999999781721</v>
      </c>
      <c r="E36" s="95">
        <f t="shared" si="1"/>
        <v>-1.9872320341729477E-3</v>
      </c>
    </row>
    <row r="37" spans="1:5" x14ac:dyDescent="0.3">
      <c r="A37" s="93" t="s">
        <v>190</v>
      </c>
      <c r="B37" s="94">
        <v>16372.5</v>
      </c>
      <c r="C37" s="94">
        <v>16372.5</v>
      </c>
      <c r="D37" s="94">
        <f t="shared" si="0"/>
        <v>0</v>
      </c>
      <c r="E37" s="95">
        <f t="shared" si="1"/>
        <v>0</v>
      </c>
    </row>
    <row r="38" spans="1:5" x14ac:dyDescent="0.3">
      <c r="A38" s="3" t="s">
        <v>419</v>
      </c>
      <c r="B38" s="126">
        <f>SUM(B3:B37)</f>
        <v>1338535.2999999993</v>
      </c>
      <c r="C38" s="126">
        <f>SUM(C3:C37)</f>
        <v>1345498.6999999997</v>
      </c>
      <c r="D38" s="126">
        <f>SUM(D3:D37)</f>
        <v>6963.4000000001197</v>
      </c>
      <c r="E38" s="135">
        <f t="shared" si="1"/>
        <v>0.52022535378786205</v>
      </c>
    </row>
    <row r="39" spans="1:5" x14ac:dyDescent="0.3">
      <c r="A39" s="101"/>
      <c r="B39" s="101"/>
      <c r="C39" s="101"/>
      <c r="D39" s="101"/>
      <c r="E39" s="101"/>
    </row>
    <row r="40" spans="1:5" x14ac:dyDescent="0.3">
      <c r="A40" s="93" t="s">
        <v>218</v>
      </c>
      <c r="B40" s="94">
        <v>158169.30000000002</v>
      </c>
      <c r="C40" s="94">
        <v>157777.4</v>
      </c>
      <c r="D40" s="94">
        <f>+C40-B40</f>
        <v>-391.90000000002328</v>
      </c>
      <c r="E40" s="95">
        <f t="shared" si="1"/>
        <v>-0.24777248176480748</v>
      </c>
    </row>
    <row r="41" spans="1:5" x14ac:dyDescent="0.3">
      <c r="A41" s="93" t="s">
        <v>219</v>
      </c>
      <c r="B41" s="94">
        <v>-83409.100299999991</v>
      </c>
      <c r="C41" s="94">
        <f>+C43-C38-C40-C42</f>
        <v>-84474.205600000161</v>
      </c>
      <c r="D41" s="94">
        <f t="shared" ref="D41:D45" si="2">+C41-B41</f>
        <v>-1065.1053000001702</v>
      </c>
      <c r="E41" s="95">
        <f>+((C41/B41)-1)*100</f>
        <v>1.2769653385173552</v>
      </c>
    </row>
    <row r="42" spans="1:5" x14ac:dyDescent="0.3">
      <c r="A42" s="93" t="s">
        <v>422</v>
      </c>
      <c r="B42" s="94">
        <v>43676.497438999984</v>
      </c>
      <c r="C42" s="94">
        <v>43521.599999999955</v>
      </c>
      <c r="D42" s="94">
        <f t="shared" si="2"/>
        <v>-154.89743900002941</v>
      </c>
      <c r="E42" s="95">
        <f>+((C42/B42)-1)*100</f>
        <v>-0.35464711705961438</v>
      </c>
    </row>
    <row r="43" spans="1:5" x14ac:dyDescent="0.3">
      <c r="A43" s="3" t="s">
        <v>220</v>
      </c>
      <c r="B43" s="126">
        <f>+B38+B40+B41+B42</f>
        <v>1456971.9971389994</v>
      </c>
      <c r="C43" s="126">
        <f>+C46-C44-C45</f>
        <v>1462323.4943999995</v>
      </c>
      <c r="D43" s="126">
        <f>+C43-B43</f>
        <v>5351.4972610000987</v>
      </c>
      <c r="E43" s="135">
        <f t="shared" ref="E43:E46" si="3">+((C43/B43)-1)*100</f>
        <v>0.36730268471245608</v>
      </c>
    </row>
    <row r="44" spans="1:5" x14ac:dyDescent="0.3">
      <c r="A44" s="93" t="s">
        <v>8</v>
      </c>
      <c r="B44" s="94">
        <v>114818.6</v>
      </c>
      <c r="C44" s="94">
        <v>125388.6</v>
      </c>
      <c r="D44" s="94">
        <f t="shared" si="2"/>
        <v>10570</v>
      </c>
      <c r="E44" s="95">
        <f>+((C44/B44)-1)*100</f>
        <v>9.2058255369774642</v>
      </c>
    </row>
    <row r="45" spans="1:5" x14ac:dyDescent="0.3">
      <c r="A45" s="93" t="s">
        <v>224</v>
      </c>
      <c r="B45" s="94">
        <v>18871</v>
      </c>
      <c r="C45" s="94">
        <v>18870.766367476794</v>
      </c>
      <c r="D45" s="94">
        <f t="shared" si="2"/>
        <v>-0.23363252320632455</v>
      </c>
      <c r="E45" s="95">
        <f>+((C45/B45)-1)*100</f>
        <v>-1.2380505707509926E-3</v>
      </c>
    </row>
    <row r="46" spans="1:5" x14ac:dyDescent="0.3">
      <c r="A46" s="3" t="s">
        <v>221</v>
      </c>
      <c r="B46" s="126">
        <f>B43+B44+B45</f>
        <v>1590661.5971389995</v>
      </c>
      <c r="C46" s="126">
        <v>1606582.8607674765</v>
      </c>
      <c r="D46" s="126">
        <f>D43+D44+D45</f>
        <v>15921.263628476892</v>
      </c>
      <c r="E46" s="135">
        <f t="shared" si="3"/>
        <v>1.0009208531288616</v>
      </c>
    </row>
    <row r="47" spans="1:5" x14ac:dyDescent="0.3">
      <c r="A47" s="101"/>
      <c r="B47" s="101"/>
      <c r="C47" s="101"/>
      <c r="D47" s="101"/>
      <c r="E47" s="101"/>
    </row>
    <row r="48" spans="1:5" x14ac:dyDescent="0.3">
      <c r="A48" s="148" t="s">
        <v>291</v>
      </c>
      <c r="B48" s="148"/>
      <c r="C48" s="148"/>
      <c r="D48" s="148"/>
      <c r="E48" s="148"/>
    </row>
    <row r="49" spans="1:5" ht="20.5" customHeight="1" x14ac:dyDescent="0.3">
      <c r="A49" s="208" t="s">
        <v>432</v>
      </c>
      <c r="B49" s="208"/>
      <c r="C49" s="208"/>
      <c r="D49" s="208"/>
      <c r="E49" s="208"/>
    </row>
    <row r="50" spans="1:5" ht="23" customHeight="1" x14ac:dyDescent="0.3">
      <c r="A50" s="208" t="s">
        <v>292</v>
      </c>
      <c r="B50" s="208"/>
      <c r="C50" s="208"/>
      <c r="D50" s="208"/>
      <c r="E50" s="208"/>
    </row>
    <row r="51" spans="1:5" x14ac:dyDescent="0.3">
      <c r="A51" s="208" t="s">
        <v>433</v>
      </c>
      <c r="B51" s="208"/>
      <c r="C51" s="208"/>
      <c r="D51" s="208"/>
      <c r="E51" s="208"/>
    </row>
    <row r="52" spans="1:5" x14ac:dyDescent="0.3">
      <c r="A52" s="208"/>
      <c r="B52" s="208"/>
      <c r="C52" s="208"/>
      <c r="D52" s="208"/>
      <c r="E52" s="208"/>
    </row>
    <row r="53" spans="1:5" x14ac:dyDescent="0.3">
      <c r="A53" s="208"/>
      <c r="B53" s="208"/>
      <c r="C53" s="208"/>
      <c r="D53" s="208"/>
      <c r="E53" s="208"/>
    </row>
  </sheetData>
  <mergeCells count="5">
    <mergeCell ref="A50:E50"/>
    <mergeCell ref="A51:E51"/>
    <mergeCell ref="A52:E52"/>
    <mergeCell ref="A53:E53"/>
    <mergeCell ref="A49:E4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D5223-1F64-46DA-B931-14645BC351F7}">
  <sheetPr codeName="Sheet15"/>
  <dimension ref="A1:C46"/>
  <sheetViews>
    <sheetView topLeftCell="A2" workbookViewId="0">
      <selection activeCell="M23" sqref="M23"/>
    </sheetView>
  </sheetViews>
  <sheetFormatPr defaultColWidth="9.1796875" defaultRowHeight="12" x14ac:dyDescent="0.3"/>
  <cols>
    <col min="1" max="1" width="47" style="4" customWidth="1"/>
    <col min="2" max="2" width="6.81640625" style="5" bestFit="1" customWidth="1"/>
    <col min="3" max="3" width="5.81640625" style="5" customWidth="1"/>
    <col min="4" max="7" width="7.81640625" style="4" customWidth="1"/>
    <col min="8" max="8" width="0" style="4" hidden="1" customWidth="1"/>
    <col min="9" max="16384" width="9.1796875" style="4"/>
  </cols>
  <sheetData>
    <row r="1" spans="1:2" ht="2.25" hidden="1" customHeight="1" x14ac:dyDescent="0.3"/>
    <row r="2" spans="1:2" ht="25.4" customHeight="1" x14ac:dyDescent="0.3">
      <c r="A2" s="99" t="s">
        <v>435</v>
      </c>
      <c r="B2" s="100" t="s">
        <v>337</v>
      </c>
    </row>
    <row r="3" spans="1:2" ht="6" customHeight="1" x14ac:dyDescent="0.3">
      <c r="A3" s="101"/>
      <c r="B3" s="101"/>
    </row>
    <row r="4" spans="1:2" x14ac:dyDescent="0.3">
      <c r="A4" s="149" t="s">
        <v>75</v>
      </c>
      <c r="B4" s="150">
        <v>23</v>
      </c>
    </row>
    <row r="5" spans="1:2" x14ac:dyDescent="0.3">
      <c r="A5" s="151" t="s">
        <v>76</v>
      </c>
      <c r="B5" s="142">
        <v>8.8000000000000007</v>
      </c>
    </row>
    <row r="6" spans="1:2" x14ac:dyDescent="0.3">
      <c r="A6" s="151" t="s">
        <v>434</v>
      </c>
      <c r="B6" s="142">
        <v>14.2</v>
      </c>
    </row>
    <row r="7" spans="1:2" x14ac:dyDescent="0.3">
      <c r="A7" s="149" t="s">
        <v>77</v>
      </c>
      <c r="B7" s="150">
        <v>10.6</v>
      </c>
    </row>
    <row r="8" spans="1:2" x14ac:dyDescent="0.3">
      <c r="A8" s="149" t="s">
        <v>78</v>
      </c>
      <c r="B8" s="150">
        <v>-2.5</v>
      </c>
    </row>
    <row r="9" spans="1:2" x14ac:dyDescent="0.3">
      <c r="A9" s="149" t="s">
        <v>79</v>
      </c>
      <c r="B9" s="150">
        <v>12.4</v>
      </c>
    </row>
    <row r="10" spans="1:2" x14ac:dyDescent="0.3">
      <c r="A10" s="149" t="s">
        <v>80</v>
      </c>
      <c r="B10" s="150">
        <v>43.5</v>
      </c>
    </row>
    <row r="11" spans="1:2" ht="6.5" customHeight="1" x14ac:dyDescent="0.3">
      <c r="A11" s="101"/>
      <c r="B11" s="101"/>
    </row>
    <row r="23" ht="19.5" customHeight="1" x14ac:dyDescent="0.3"/>
    <row r="43" ht="13" customHeight="1" x14ac:dyDescent="0.3"/>
    <row r="44" ht="13" customHeight="1" x14ac:dyDescent="0.3"/>
    <row r="45" ht="13" customHeight="1" x14ac:dyDescent="0.3"/>
    <row r="46" ht="3.75" customHeight="1" x14ac:dyDescent="0.3"/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E5236-ADC0-4D43-B0D8-E9EA597EB467}">
  <sheetPr codeName="Sheet16"/>
  <dimension ref="A1:G49"/>
  <sheetViews>
    <sheetView topLeftCell="A2" workbookViewId="0">
      <selection activeCell="Q53" sqref="Q53"/>
    </sheetView>
  </sheetViews>
  <sheetFormatPr defaultColWidth="9.1796875" defaultRowHeight="12" x14ac:dyDescent="0.3"/>
  <cols>
    <col min="1" max="1" width="50.81640625" style="4" customWidth="1"/>
    <col min="2" max="2" width="4.54296875" style="4" bestFit="1" customWidth="1"/>
    <col min="3" max="3" width="8" style="4" bestFit="1" customWidth="1"/>
    <col min="4" max="7" width="6.81640625" style="4" bestFit="1" customWidth="1"/>
    <col min="8" max="16384" width="9.1796875" style="4"/>
  </cols>
  <sheetData>
    <row r="1" spans="1:7" ht="14.25" hidden="1" customHeight="1" x14ac:dyDescent="0.3"/>
    <row r="2" spans="1:7" x14ac:dyDescent="0.3">
      <c r="A2" s="99" t="s">
        <v>39</v>
      </c>
      <c r="B2" s="100" t="s">
        <v>164</v>
      </c>
      <c r="C2" s="100" t="s">
        <v>165</v>
      </c>
      <c r="D2" s="100">
        <v>2025</v>
      </c>
      <c r="E2" s="100">
        <f>+D2+1</f>
        <v>2026</v>
      </c>
      <c r="F2" s="100">
        <f t="shared" ref="F2:G2" si="0">+E2+1</f>
        <v>2027</v>
      </c>
      <c r="G2" s="100">
        <f t="shared" si="0"/>
        <v>2028</v>
      </c>
    </row>
    <row r="3" spans="1:7" ht="3.65" customHeight="1" x14ac:dyDescent="0.3">
      <c r="A3" s="101"/>
      <c r="B3" s="109"/>
      <c r="C3" s="109"/>
      <c r="D3" s="101"/>
      <c r="E3" s="101"/>
      <c r="F3" s="101"/>
      <c r="G3" s="101"/>
    </row>
    <row r="4" spans="1:7" x14ac:dyDescent="0.3">
      <c r="A4" s="152" t="s">
        <v>166</v>
      </c>
      <c r="B4" s="110"/>
      <c r="C4" s="110"/>
      <c r="D4" s="95"/>
      <c r="E4" s="95"/>
      <c r="F4" s="95"/>
      <c r="G4" s="95"/>
    </row>
    <row r="5" spans="1:7" x14ac:dyDescent="0.3">
      <c r="A5" s="93" t="s">
        <v>167</v>
      </c>
      <c r="B5" s="92" t="s">
        <v>168</v>
      </c>
      <c r="C5" s="92">
        <v>6</v>
      </c>
      <c r="D5" s="120">
        <v>4086.5</v>
      </c>
      <c r="E5" s="120">
        <v>4158.1625000000004</v>
      </c>
      <c r="F5" s="120">
        <v>4231.4565624999996</v>
      </c>
      <c r="G5" s="120">
        <v>4300.125476562499</v>
      </c>
    </row>
    <row r="6" spans="1:7" x14ac:dyDescent="0.3">
      <c r="A6" s="93" t="s">
        <v>169</v>
      </c>
      <c r="B6" s="92" t="s">
        <v>170</v>
      </c>
      <c r="C6" s="92">
        <v>14</v>
      </c>
      <c r="D6" s="120">
        <v>4225</v>
      </c>
      <c r="E6" s="120">
        <v>2595</v>
      </c>
      <c r="F6" s="120">
        <v>2595</v>
      </c>
      <c r="G6" s="120">
        <v>2595</v>
      </c>
    </row>
    <row r="7" spans="1:7" x14ac:dyDescent="0.3">
      <c r="A7" s="93" t="s">
        <v>171</v>
      </c>
      <c r="B7" s="92" t="s">
        <v>436</v>
      </c>
      <c r="C7" s="92">
        <v>18</v>
      </c>
      <c r="D7" s="120">
        <v>497.9</v>
      </c>
      <c r="E7" s="120">
        <v>445.4</v>
      </c>
      <c r="F7" s="120">
        <v>267</v>
      </c>
      <c r="G7" s="120">
        <v>60</v>
      </c>
    </row>
    <row r="8" spans="1:7" x14ac:dyDescent="0.3">
      <c r="A8" s="93" t="s">
        <v>174</v>
      </c>
      <c r="B8" s="92" t="s">
        <v>175</v>
      </c>
      <c r="C8" s="92">
        <v>2</v>
      </c>
      <c r="D8" s="120">
        <v>909.8</v>
      </c>
      <c r="E8" s="120">
        <v>940.09999999999991</v>
      </c>
      <c r="F8" s="120">
        <v>940.09999999999991</v>
      </c>
      <c r="G8" s="120">
        <v>940.09999999999991</v>
      </c>
    </row>
    <row r="9" spans="1:7" x14ac:dyDescent="0.3">
      <c r="A9" s="93" t="s">
        <v>176</v>
      </c>
      <c r="B9" s="92" t="s">
        <v>173</v>
      </c>
      <c r="C9" s="92">
        <v>11</v>
      </c>
      <c r="D9" s="120">
        <v>7308.3471627279996</v>
      </c>
      <c r="E9" s="120">
        <v>4476.1974769999997</v>
      </c>
      <c r="F9" s="120">
        <v>3319.6734170000004</v>
      </c>
      <c r="G9" s="120">
        <v>1776.9</v>
      </c>
    </row>
    <row r="10" spans="1:7" x14ac:dyDescent="0.3">
      <c r="A10" s="93" t="s">
        <v>177</v>
      </c>
      <c r="B10" s="92" t="s">
        <v>437</v>
      </c>
      <c r="C10" s="92">
        <v>1</v>
      </c>
      <c r="D10" s="120">
        <v>591.79999999999995</v>
      </c>
      <c r="E10" s="120">
        <v>607.5</v>
      </c>
      <c r="F10" s="120">
        <v>607.5</v>
      </c>
      <c r="G10" s="120">
        <v>607.5</v>
      </c>
    </row>
    <row r="11" spans="1:7" x14ac:dyDescent="0.3">
      <c r="A11" s="93" t="s">
        <v>179</v>
      </c>
      <c r="B11" s="92" t="s">
        <v>437</v>
      </c>
      <c r="C11" s="92">
        <v>1</v>
      </c>
      <c r="D11" s="120">
        <v>80</v>
      </c>
      <c r="E11" s="120">
        <v>6.3</v>
      </c>
      <c r="F11" s="120"/>
      <c r="G11" s="120"/>
    </row>
    <row r="12" spans="1:7" x14ac:dyDescent="0.3">
      <c r="A12" s="93" t="s">
        <v>198</v>
      </c>
      <c r="B12" s="92" t="s">
        <v>197</v>
      </c>
      <c r="C12" s="92">
        <v>2</v>
      </c>
      <c r="D12" s="120">
        <v>56</v>
      </c>
      <c r="E12" s="120">
        <v>56</v>
      </c>
      <c r="F12" s="120" t="s">
        <v>192</v>
      </c>
      <c r="G12" s="120" t="s">
        <v>192</v>
      </c>
    </row>
    <row r="13" spans="1:7" x14ac:dyDescent="0.3">
      <c r="A13" s="93" t="s">
        <v>180</v>
      </c>
      <c r="B13" s="92" t="s">
        <v>436</v>
      </c>
      <c r="C13" s="92">
        <v>10</v>
      </c>
      <c r="D13" s="120">
        <v>663.1</v>
      </c>
      <c r="E13" s="120">
        <v>713.67499999999995</v>
      </c>
      <c r="F13" s="120">
        <v>603.79999999999995</v>
      </c>
      <c r="G13" s="120">
        <v>603.79999999999995</v>
      </c>
    </row>
    <row r="14" spans="1:7" x14ac:dyDescent="0.3">
      <c r="A14" s="93" t="s">
        <v>181</v>
      </c>
      <c r="B14" s="92" t="s">
        <v>436</v>
      </c>
      <c r="C14" s="92">
        <v>2</v>
      </c>
      <c r="D14" s="120">
        <v>6370</v>
      </c>
      <c r="E14" s="120">
        <v>6670</v>
      </c>
      <c r="F14" s="120">
        <v>6915</v>
      </c>
      <c r="G14" s="120"/>
    </row>
    <row r="15" spans="1:7" x14ac:dyDescent="0.3">
      <c r="A15" s="93" t="s">
        <v>182</v>
      </c>
      <c r="B15" s="92" t="s">
        <v>183</v>
      </c>
      <c r="C15" s="92">
        <v>6</v>
      </c>
      <c r="D15" s="120">
        <v>7552.9</v>
      </c>
      <c r="E15" s="120">
        <v>8294.9</v>
      </c>
      <c r="F15" s="120">
        <v>8295.1</v>
      </c>
      <c r="G15" s="120">
        <v>8295.2999999999993</v>
      </c>
    </row>
    <row r="16" spans="1:7" x14ac:dyDescent="0.3">
      <c r="A16" s="93" t="s">
        <v>184</v>
      </c>
      <c r="B16" s="92" t="s">
        <v>436</v>
      </c>
      <c r="C16" s="92">
        <v>15</v>
      </c>
      <c r="D16" s="120">
        <v>9846.3720599999997</v>
      </c>
      <c r="E16" s="120">
        <v>627.77205800000002</v>
      </c>
      <c r="F16" s="120">
        <v>613</v>
      </c>
      <c r="G16" s="120">
        <v>386</v>
      </c>
    </row>
    <row r="17" spans="1:7" x14ac:dyDescent="0.3">
      <c r="A17" s="93" t="s">
        <v>185</v>
      </c>
      <c r="B17" s="92" t="s">
        <v>186</v>
      </c>
      <c r="C17" s="92">
        <v>2</v>
      </c>
      <c r="D17" s="120">
        <v>64959.043638000003</v>
      </c>
      <c r="E17" s="120">
        <v>67320.304874241308</v>
      </c>
      <c r="F17" s="120">
        <v>69767.397956419984</v>
      </c>
      <c r="G17" s="120">
        <v>72303.442872135856</v>
      </c>
    </row>
    <row r="18" spans="1:7" x14ac:dyDescent="0.3">
      <c r="A18" s="93" t="s">
        <v>187</v>
      </c>
      <c r="B18" s="92" t="s">
        <v>186</v>
      </c>
      <c r="C18" s="92">
        <v>28</v>
      </c>
      <c r="D18" s="120">
        <v>58222.592969876176</v>
      </c>
      <c r="E18" s="120">
        <v>60083.148719494449</v>
      </c>
      <c r="F18" s="120">
        <v>60083.148719494449</v>
      </c>
      <c r="G18" s="120">
        <v>60029.148719494449</v>
      </c>
    </row>
    <row r="19" spans="1:7" x14ac:dyDescent="0.3">
      <c r="A19" s="93" t="s">
        <v>188</v>
      </c>
      <c r="B19" s="92" t="s">
        <v>186</v>
      </c>
      <c r="C19" s="92">
        <v>27</v>
      </c>
      <c r="D19" s="120">
        <v>61544.796427999987</v>
      </c>
      <c r="E19" s="120">
        <v>62720.293645182195</v>
      </c>
      <c r="F19" s="120">
        <v>63467.997363554598</v>
      </c>
      <c r="G19" s="120">
        <v>63784.281668421791</v>
      </c>
    </row>
    <row r="20" spans="1:7" x14ac:dyDescent="0.3">
      <c r="A20" s="93" t="s">
        <v>190</v>
      </c>
      <c r="B20" s="92" t="s">
        <v>168</v>
      </c>
      <c r="C20" s="92">
        <v>4</v>
      </c>
      <c r="D20" s="120">
        <v>742.1</v>
      </c>
      <c r="E20" s="120">
        <v>760.65249999999992</v>
      </c>
      <c r="F20" s="120">
        <v>779.66881249999983</v>
      </c>
      <c r="G20" s="120">
        <v>799.1605328124997</v>
      </c>
    </row>
    <row r="21" spans="1:7" x14ac:dyDescent="0.3">
      <c r="A21" s="92"/>
      <c r="B21" s="113"/>
      <c r="C21" s="113"/>
      <c r="D21" s="92"/>
      <c r="E21" s="92"/>
      <c r="F21" s="92"/>
      <c r="G21" s="92"/>
    </row>
    <row r="22" spans="1:7" x14ac:dyDescent="0.3">
      <c r="A22" s="3" t="s">
        <v>191</v>
      </c>
      <c r="B22" s="111" t="s">
        <v>192</v>
      </c>
      <c r="C22" s="119">
        <f>SUM(C5:C20)</f>
        <v>149</v>
      </c>
      <c r="D22" s="119">
        <f>SUM(D5:D20)</f>
        <v>227656.25225860413</v>
      </c>
      <c r="E22" s="119">
        <f>SUM(E5:E20)</f>
        <v>220475.40677391796</v>
      </c>
      <c r="F22" s="119">
        <f>SUM(F5:F20)</f>
        <v>222485.84283146905</v>
      </c>
      <c r="G22" s="119">
        <f>SUM(G5:G20)</f>
        <v>216480.7592694271</v>
      </c>
    </row>
    <row r="23" spans="1:7" ht="40" customHeight="1" x14ac:dyDescent="0.3">
      <c r="A23" s="152" t="s">
        <v>193</v>
      </c>
      <c r="B23" s="110"/>
      <c r="C23" s="110"/>
      <c r="D23" s="120"/>
      <c r="E23" s="120"/>
      <c r="F23" s="120"/>
      <c r="G23" s="120"/>
    </row>
    <row r="24" spans="1:7" x14ac:dyDescent="0.3">
      <c r="A24" s="93" t="s">
        <v>194</v>
      </c>
      <c r="B24" s="92" t="s">
        <v>438</v>
      </c>
      <c r="C24" s="92">
        <v>1</v>
      </c>
      <c r="D24" s="120">
        <v>26</v>
      </c>
      <c r="E24" s="120">
        <v>27</v>
      </c>
      <c r="F24" s="120">
        <v>28</v>
      </c>
      <c r="G24" s="120">
        <v>29</v>
      </c>
    </row>
    <row r="25" spans="1:7" x14ac:dyDescent="0.3">
      <c r="A25" s="93" t="s">
        <v>167</v>
      </c>
      <c r="B25" s="92" t="s">
        <v>168</v>
      </c>
      <c r="C25" s="92">
        <v>6</v>
      </c>
      <c r="D25" s="120">
        <v>72.845250000000007</v>
      </c>
      <c r="E25" s="120">
        <v>65.54525000000001</v>
      </c>
      <c r="F25" s="120">
        <v>37.1</v>
      </c>
      <c r="G25" s="120">
        <v>22.1</v>
      </c>
    </row>
    <row r="26" spans="1:7" x14ac:dyDescent="0.3">
      <c r="A26" s="93" t="s">
        <v>171</v>
      </c>
      <c r="B26" s="92" t="s">
        <v>436</v>
      </c>
      <c r="C26" s="92">
        <v>10</v>
      </c>
      <c r="D26" s="120">
        <v>178.35000400000001</v>
      </c>
      <c r="E26" s="120">
        <v>62.25</v>
      </c>
      <c r="F26" s="120">
        <v>58.5</v>
      </c>
      <c r="G26" s="120">
        <v>35</v>
      </c>
    </row>
    <row r="27" spans="1:7" x14ac:dyDescent="0.3">
      <c r="A27" s="93" t="s">
        <v>172</v>
      </c>
      <c r="B27" s="92" t="s">
        <v>173</v>
      </c>
      <c r="C27" s="92">
        <v>4</v>
      </c>
      <c r="D27" s="120">
        <v>177</v>
      </c>
      <c r="E27" s="120">
        <v>195</v>
      </c>
      <c r="F27" s="120"/>
      <c r="G27" s="120"/>
    </row>
    <row r="28" spans="1:7" x14ac:dyDescent="0.3">
      <c r="A28" s="93" t="s">
        <v>174</v>
      </c>
      <c r="B28" s="92" t="s">
        <v>175</v>
      </c>
      <c r="C28" s="92">
        <v>1</v>
      </c>
      <c r="D28" s="120">
        <v>12</v>
      </c>
      <c r="E28" s="120">
        <v>12</v>
      </c>
      <c r="F28" s="120">
        <v>12</v>
      </c>
      <c r="G28" s="120">
        <v>12</v>
      </c>
    </row>
    <row r="29" spans="1:7" x14ac:dyDescent="0.3">
      <c r="A29" s="93" t="s">
        <v>195</v>
      </c>
      <c r="B29" s="92" t="s">
        <v>175</v>
      </c>
      <c r="C29" s="92">
        <v>2</v>
      </c>
      <c r="D29" s="120">
        <v>4505.3</v>
      </c>
      <c r="E29" s="120">
        <v>4732.9000000000005</v>
      </c>
      <c r="F29" s="120">
        <v>4732.9000000000005</v>
      </c>
      <c r="G29" s="120">
        <v>4732.9000000000005</v>
      </c>
    </row>
    <row r="30" spans="1:7" x14ac:dyDescent="0.3">
      <c r="A30" s="93" t="s">
        <v>176</v>
      </c>
      <c r="B30" s="92" t="s">
        <v>173</v>
      </c>
      <c r="C30" s="92">
        <v>1</v>
      </c>
      <c r="D30" s="120">
        <v>77.599999999999994</v>
      </c>
      <c r="E30" s="120">
        <v>75</v>
      </c>
      <c r="F30" s="120">
        <v>75</v>
      </c>
      <c r="G30" s="120">
        <v>75</v>
      </c>
    </row>
    <row r="31" spans="1:7" x14ac:dyDescent="0.3">
      <c r="A31" s="93" t="s">
        <v>177</v>
      </c>
      <c r="B31" s="92" t="s">
        <v>437</v>
      </c>
      <c r="C31" s="92">
        <v>4</v>
      </c>
      <c r="D31" s="120">
        <v>18937</v>
      </c>
      <c r="E31" s="120">
        <v>19414</v>
      </c>
      <c r="F31" s="120">
        <v>19414</v>
      </c>
      <c r="G31" s="120">
        <v>19414</v>
      </c>
    </row>
    <row r="32" spans="1:7" x14ac:dyDescent="0.3">
      <c r="A32" s="93" t="s">
        <v>178</v>
      </c>
      <c r="B32" s="92" t="s">
        <v>437</v>
      </c>
      <c r="C32" s="92">
        <v>3</v>
      </c>
      <c r="D32" s="120">
        <v>47.7</v>
      </c>
      <c r="E32" s="120">
        <v>47.7</v>
      </c>
      <c r="F32" s="120">
        <v>47.7</v>
      </c>
      <c r="G32" s="120">
        <v>12.7</v>
      </c>
    </row>
    <row r="33" spans="1:7" x14ac:dyDescent="0.3">
      <c r="A33" s="93" t="s">
        <v>179</v>
      </c>
      <c r="B33" s="92" t="s">
        <v>437</v>
      </c>
      <c r="C33" s="92">
        <v>6</v>
      </c>
      <c r="D33" s="120">
        <v>493</v>
      </c>
      <c r="E33" s="120">
        <v>468</v>
      </c>
      <c r="F33" s="120">
        <v>358</v>
      </c>
      <c r="G33" s="120">
        <v>358</v>
      </c>
    </row>
    <row r="34" spans="1:7" x14ac:dyDescent="0.3">
      <c r="A34" s="93" t="s">
        <v>196</v>
      </c>
      <c r="B34" s="92" t="s">
        <v>197</v>
      </c>
      <c r="C34" s="92">
        <v>3</v>
      </c>
      <c r="D34" s="120">
        <v>124</v>
      </c>
      <c r="E34" s="120">
        <v>329</v>
      </c>
      <c r="F34" s="120">
        <v>104</v>
      </c>
      <c r="G34" s="120">
        <v>104</v>
      </c>
    </row>
    <row r="35" spans="1:7" x14ac:dyDescent="0.3">
      <c r="A35" s="93" t="s">
        <v>198</v>
      </c>
      <c r="B35" s="92" t="s">
        <v>197</v>
      </c>
      <c r="C35" s="92">
        <v>13</v>
      </c>
      <c r="D35" s="120">
        <v>293</v>
      </c>
      <c r="E35" s="120">
        <v>263</v>
      </c>
      <c r="F35" s="120">
        <v>103</v>
      </c>
      <c r="G35" s="120">
        <v>83</v>
      </c>
    </row>
    <row r="36" spans="1:7" x14ac:dyDescent="0.3">
      <c r="A36" s="93" t="s">
        <v>180</v>
      </c>
      <c r="B36" s="92" t="s">
        <v>436</v>
      </c>
      <c r="C36" s="92">
        <v>77</v>
      </c>
      <c r="D36" s="120">
        <v>2360.7395750000001</v>
      </c>
      <c r="E36" s="120">
        <v>2123.1999999999998</v>
      </c>
      <c r="F36" s="120">
        <v>1873.3999999999999</v>
      </c>
      <c r="G36" s="120">
        <v>1784.4</v>
      </c>
    </row>
    <row r="37" spans="1:7" x14ac:dyDescent="0.3">
      <c r="A37" s="93" t="s">
        <v>181</v>
      </c>
      <c r="B37" s="92" t="s">
        <v>436</v>
      </c>
      <c r="C37" s="92">
        <v>1</v>
      </c>
      <c r="D37" s="120">
        <v>4.4000000000000004</v>
      </c>
      <c r="E37" s="120"/>
      <c r="F37" s="120"/>
      <c r="G37" s="120"/>
    </row>
    <row r="38" spans="1:7" x14ac:dyDescent="0.3">
      <c r="A38" s="93" t="s">
        <v>182</v>
      </c>
      <c r="B38" s="92" t="s">
        <v>183</v>
      </c>
      <c r="C38" s="92">
        <v>14</v>
      </c>
      <c r="D38" s="120">
        <v>1631.6</v>
      </c>
      <c r="E38" s="120">
        <v>1603.1</v>
      </c>
      <c r="F38" s="120">
        <v>71</v>
      </c>
      <c r="G38" s="120">
        <v>26</v>
      </c>
    </row>
    <row r="39" spans="1:7" x14ac:dyDescent="0.3">
      <c r="A39" s="93" t="s">
        <v>184</v>
      </c>
      <c r="B39" s="92" t="s">
        <v>436</v>
      </c>
      <c r="C39" s="92">
        <v>9</v>
      </c>
      <c r="D39" s="120">
        <v>215.04992999999999</v>
      </c>
      <c r="E39" s="120">
        <v>71.763218999999992</v>
      </c>
      <c r="F39" s="120">
        <v>46.7</v>
      </c>
      <c r="G39" s="120"/>
    </row>
    <row r="40" spans="1:7" x14ac:dyDescent="0.3">
      <c r="A40" s="93" t="s">
        <v>338</v>
      </c>
      <c r="B40" s="92" t="s">
        <v>183</v>
      </c>
      <c r="C40" s="92">
        <v>15</v>
      </c>
      <c r="D40" s="120">
        <v>551.6</v>
      </c>
      <c r="E40" s="120">
        <v>1041.0999999999999</v>
      </c>
      <c r="F40" s="120">
        <v>130</v>
      </c>
      <c r="G40" s="120"/>
    </row>
    <row r="41" spans="1:7" x14ac:dyDescent="0.3">
      <c r="A41" s="93" t="s">
        <v>439</v>
      </c>
      <c r="B41" s="92" t="s">
        <v>186</v>
      </c>
      <c r="C41" s="92">
        <v>3</v>
      </c>
      <c r="D41" s="120">
        <v>473.29999999999995</v>
      </c>
      <c r="E41" s="120">
        <v>396.79999999999995</v>
      </c>
      <c r="F41" s="120">
        <v>396.79999999999995</v>
      </c>
      <c r="G41" s="120">
        <v>396.79999999999995</v>
      </c>
    </row>
    <row r="42" spans="1:7" x14ac:dyDescent="0.3">
      <c r="A42" s="93" t="s">
        <v>189</v>
      </c>
      <c r="B42" s="92" t="s">
        <v>199</v>
      </c>
      <c r="C42" s="92">
        <v>17</v>
      </c>
      <c r="D42" s="120">
        <v>650.38000000000011</v>
      </c>
      <c r="E42" s="120">
        <v>456.46300000000002</v>
      </c>
      <c r="F42" s="120">
        <v>282.58300000000003</v>
      </c>
      <c r="G42" s="120">
        <v>282.58300000000003</v>
      </c>
    </row>
    <row r="43" spans="1:7" x14ac:dyDescent="0.3">
      <c r="A43" s="93" t="s">
        <v>200</v>
      </c>
      <c r="B43" s="92" t="s">
        <v>199</v>
      </c>
      <c r="C43" s="92">
        <v>2</v>
      </c>
      <c r="D43" s="120">
        <v>628.4493629000001</v>
      </c>
      <c r="E43" s="120">
        <v>1338.1093425127999</v>
      </c>
      <c r="F43" s="120">
        <v>1338.1093425127999</v>
      </c>
      <c r="G43" s="120">
        <v>1338.1093425127999</v>
      </c>
    </row>
    <row r="44" spans="1:7" x14ac:dyDescent="0.3">
      <c r="A44" s="93" t="s">
        <v>201</v>
      </c>
      <c r="B44" s="92" t="s">
        <v>199</v>
      </c>
      <c r="C44" s="92">
        <v>3</v>
      </c>
      <c r="D44" s="120">
        <v>66.682108999999997</v>
      </c>
      <c r="E44" s="120">
        <v>67.151936488000004</v>
      </c>
      <c r="F44" s="120">
        <v>67.151936488000004</v>
      </c>
      <c r="G44" s="120">
        <v>67.151936488000004</v>
      </c>
    </row>
    <row r="45" spans="1:7" x14ac:dyDescent="0.3">
      <c r="A45" s="93" t="s">
        <v>190</v>
      </c>
      <c r="B45" s="92" t="s">
        <v>168</v>
      </c>
      <c r="C45" s="92">
        <v>85</v>
      </c>
      <c r="D45" s="120">
        <v>6111.1599028999981</v>
      </c>
      <c r="E45" s="120">
        <v>5325.0547912500006</v>
      </c>
      <c r="F45" s="120">
        <v>4209.7298147000001</v>
      </c>
      <c r="G45" s="120">
        <v>3266.23</v>
      </c>
    </row>
    <row r="46" spans="1:7" x14ac:dyDescent="0.3">
      <c r="A46" s="3" t="s">
        <v>202</v>
      </c>
      <c r="B46" s="153" t="s">
        <v>192</v>
      </c>
      <c r="C46" s="154">
        <f>SUM(C24:C45)</f>
        <v>280</v>
      </c>
      <c r="D46" s="155">
        <f>SUM(D24:D45)</f>
        <v>37637.156133799996</v>
      </c>
      <c r="E46" s="155">
        <f t="shared" ref="E46:G46" si="1">SUM(E24:E45)</f>
        <v>38114.137539250791</v>
      </c>
      <c r="F46" s="155">
        <f t="shared" si="1"/>
        <v>33385.6740937008</v>
      </c>
      <c r="G46" s="155">
        <f t="shared" si="1"/>
        <v>32038.974279000799</v>
      </c>
    </row>
    <row r="47" spans="1:7" x14ac:dyDescent="0.3">
      <c r="A47" s="3" t="s">
        <v>203</v>
      </c>
      <c r="B47" s="153" t="s">
        <v>192</v>
      </c>
      <c r="C47" s="154">
        <f>SUM(C22+C46)</f>
        <v>429</v>
      </c>
      <c r="D47" s="155">
        <f>SUM(D22+D46)</f>
        <v>265293.40839240415</v>
      </c>
      <c r="E47" s="155">
        <f>SUM(E22+E46)</f>
        <v>258589.54431316874</v>
      </c>
      <c r="F47" s="155">
        <f>SUM(F22+F46)</f>
        <v>255871.51692516985</v>
      </c>
      <c r="G47" s="155">
        <f>SUM(G22+G46)</f>
        <v>248519.7335484279</v>
      </c>
    </row>
    <row r="48" spans="1:7" x14ac:dyDescent="0.3">
      <c r="A48" s="3" t="s">
        <v>204</v>
      </c>
      <c r="B48" s="153" t="s">
        <v>192</v>
      </c>
      <c r="C48" s="156" t="s">
        <v>192</v>
      </c>
      <c r="D48" s="157">
        <f>+D47/'[2]Gögn 2025'!B10</f>
        <v>0.19462819324529054</v>
      </c>
      <c r="E48" s="157">
        <f>+E47/'[2]Gögn 2025'!C10</f>
        <v>0.1822592064096154</v>
      </c>
      <c r="F48" s="158">
        <v>1</v>
      </c>
      <c r="G48" s="158">
        <v>1</v>
      </c>
    </row>
    <row r="49" spans="1:7" ht="4" customHeight="1" x14ac:dyDescent="0.3">
      <c r="A49" s="101"/>
      <c r="B49" s="109"/>
      <c r="C49" s="109"/>
      <c r="D49" s="101"/>
      <c r="E49" s="101"/>
      <c r="F49" s="101"/>
      <c r="G49" s="10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88309-9E83-4B14-9E86-851448D57BBE}">
  <sheetPr codeName="Sheet17"/>
  <dimension ref="A1:G47"/>
  <sheetViews>
    <sheetView topLeftCell="A3" workbookViewId="0">
      <selection activeCell="F27" sqref="F27"/>
    </sheetView>
  </sheetViews>
  <sheetFormatPr defaultColWidth="9.1796875" defaultRowHeight="13" x14ac:dyDescent="0.3"/>
  <cols>
    <col min="1" max="1" width="31.1796875" style="46" customWidth="1"/>
    <col min="2" max="2" width="7.453125" style="46" customWidth="1"/>
    <col min="3" max="3" width="4.453125" style="46" customWidth="1"/>
    <col min="4" max="4" width="31.1796875" style="46" customWidth="1"/>
    <col min="5" max="5" width="7.453125" style="46" customWidth="1"/>
    <col min="6" max="16384" width="9.1796875" style="46"/>
  </cols>
  <sheetData>
    <row r="1" spans="1:7" hidden="1" x14ac:dyDescent="0.3">
      <c r="A1" s="49"/>
      <c r="B1" s="49"/>
      <c r="C1" s="49"/>
      <c r="D1" s="49"/>
      <c r="E1" s="49"/>
    </row>
    <row r="2" spans="1:7" hidden="1" x14ac:dyDescent="0.3">
      <c r="B2" s="74"/>
      <c r="C2" s="49"/>
      <c r="D2" s="49"/>
      <c r="E2" s="74"/>
    </row>
    <row r="3" spans="1:7" x14ac:dyDescent="0.3">
      <c r="A3" s="173" t="s">
        <v>225</v>
      </c>
      <c r="B3" s="174" t="s">
        <v>226</v>
      </c>
      <c r="C3" s="100"/>
      <c r="D3" s="173" t="s">
        <v>225</v>
      </c>
      <c r="E3" s="174" t="s">
        <v>226</v>
      </c>
    </row>
    <row r="4" spans="1:7" ht="1.5" customHeight="1" x14ac:dyDescent="0.3">
      <c r="A4" s="78"/>
      <c r="B4" s="92"/>
      <c r="C4" s="92"/>
      <c r="D4" s="175"/>
      <c r="E4" s="97"/>
      <c r="G4" s="5"/>
    </row>
    <row r="5" spans="1:7" x14ac:dyDescent="0.3">
      <c r="A5" s="176" t="s">
        <v>115</v>
      </c>
      <c r="B5" s="209" t="s">
        <v>227</v>
      </c>
      <c r="C5" s="113"/>
      <c r="D5" s="176" t="s">
        <v>440</v>
      </c>
      <c r="E5" s="209" t="s">
        <v>229</v>
      </c>
    </row>
    <row r="6" spans="1:7" x14ac:dyDescent="0.3">
      <c r="A6" s="176" t="s">
        <v>230</v>
      </c>
      <c r="B6" s="209"/>
      <c r="C6" s="113"/>
      <c r="D6" s="176" t="s">
        <v>231</v>
      </c>
      <c r="E6" s="209"/>
    </row>
    <row r="7" spans="1:7" x14ac:dyDescent="0.3">
      <c r="A7" s="176" t="s">
        <v>117</v>
      </c>
      <c r="B7" s="209"/>
      <c r="C7" s="113"/>
      <c r="D7" s="177" t="s">
        <v>322</v>
      </c>
      <c r="E7" s="209"/>
    </row>
    <row r="8" spans="1:7" x14ac:dyDescent="0.3">
      <c r="A8" s="176" t="s">
        <v>121</v>
      </c>
      <c r="B8" s="209"/>
      <c r="C8" s="113"/>
      <c r="D8" s="177" t="s">
        <v>323</v>
      </c>
      <c r="E8" s="209"/>
    </row>
    <row r="9" spans="1:7" ht="12.75" customHeight="1" x14ac:dyDescent="0.3">
      <c r="A9" s="176" t="s">
        <v>118</v>
      </c>
      <c r="B9" s="209"/>
      <c r="C9" s="113"/>
      <c r="D9" s="177" t="s">
        <v>232</v>
      </c>
      <c r="E9" s="209"/>
    </row>
    <row r="10" spans="1:7" x14ac:dyDescent="0.3">
      <c r="A10" s="176" t="s">
        <v>233</v>
      </c>
      <c r="B10" s="209"/>
      <c r="C10" s="113"/>
      <c r="D10" s="177" t="s">
        <v>234</v>
      </c>
      <c r="E10" s="209"/>
    </row>
    <row r="11" spans="1:7" x14ac:dyDescent="0.3">
      <c r="A11" s="173"/>
      <c r="B11" s="91"/>
      <c r="C11" s="113"/>
      <c r="D11" s="177" t="s">
        <v>441</v>
      </c>
      <c r="E11" s="209"/>
    </row>
    <row r="12" spans="1:7" x14ac:dyDescent="0.3">
      <c r="A12" s="176"/>
      <c r="B12" s="113"/>
      <c r="C12" s="113"/>
      <c r="D12" s="177" t="s">
        <v>236</v>
      </c>
      <c r="E12" s="209"/>
    </row>
    <row r="13" spans="1:7" x14ac:dyDescent="0.3">
      <c r="A13" s="176" t="s">
        <v>235</v>
      </c>
      <c r="B13" s="209" t="s">
        <v>229</v>
      </c>
      <c r="C13" s="113"/>
      <c r="D13" s="177" t="s">
        <v>237</v>
      </c>
      <c r="E13" s="209"/>
    </row>
    <row r="14" spans="1:7" x14ac:dyDescent="0.3">
      <c r="A14" s="176" t="s">
        <v>442</v>
      </c>
      <c r="B14" s="209"/>
      <c r="C14" s="113"/>
      <c r="D14" s="177" t="s">
        <v>239</v>
      </c>
      <c r="E14" s="209"/>
    </row>
    <row r="15" spans="1:7" x14ac:dyDescent="0.3">
      <c r="A15" s="176" t="s">
        <v>238</v>
      </c>
      <c r="B15" s="209"/>
      <c r="C15" s="113"/>
      <c r="D15" s="177" t="s">
        <v>289</v>
      </c>
      <c r="E15" s="209"/>
    </row>
    <row r="16" spans="1:7" x14ac:dyDescent="0.3">
      <c r="A16" s="176" t="s">
        <v>116</v>
      </c>
      <c r="B16" s="209"/>
      <c r="C16" s="113"/>
      <c r="D16" s="177" t="s">
        <v>241</v>
      </c>
      <c r="E16" s="209"/>
    </row>
    <row r="17" spans="1:6" x14ac:dyDescent="0.3">
      <c r="A17" s="176" t="s">
        <v>240</v>
      </c>
      <c r="B17" s="209"/>
      <c r="C17" s="113"/>
      <c r="D17" s="177" t="s">
        <v>443</v>
      </c>
      <c r="E17" s="209"/>
    </row>
    <row r="18" spans="1:6" x14ac:dyDescent="0.3">
      <c r="A18" s="176" t="s">
        <v>444</v>
      </c>
      <c r="B18" s="209"/>
      <c r="C18" s="113"/>
      <c r="D18" s="177" t="s">
        <v>445</v>
      </c>
      <c r="E18" s="209"/>
      <c r="F18" s="49"/>
    </row>
    <row r="19" spans="1:6" x14ac:dyDescent="0.3">
      <c r="A19" s="176" t="s">
        <v>324</v>
      </c>
      <c r="B19" s="209"/>
      <c r="C19" s="113"/>
      <c r="D19" s="177" t="s">
        <v>446</v>
      </c>
      <c r="E19" s="209"/>
    </row>
    <row r="20" spans="1:6" ht="11.5" customHeight="1" x14ac:dyDescent="0.3">
      <c r="A20" s="176" t="s">
        <v>242</v>
      </c>
      <c r="B20" s="209"/>
      <c r="C20" s="113"/>
      <c r="D20" s="177" t="s">
        <v>325</v>
      </c>
      <c r="E20" s="209"/>
    </row>
    <row r="21" spans="1:6" x14ac:dyDescent="0.3">
      <c r="A21" s="176" t="s">
        <v>228</v>
      </c>
      <c r="B21" s="209"/>
      <c r="C21" s="113"/>
      <c r="D21" s="177" t="s">
        <v>243</v>
      </c>
      <c r="E21" s="209"/>
    </row>
    <row r="22" spans="1:6" x14ac:dyDescent="0.3">
      <c r="A22" s="114"/>
      <c r="B22" s="114"/>
      <c r="C22" s="113"/>
      <c r="D22" s="114"/>
      <c r="E22" s="114"/>
    </row>
    <row r="29" spans="1:6" ht="14.5" x14ac:dyDescent="0.35">
      <c r="A29" s="75"/>
      <c r="B29" s="75"/>
    </row>
    <row r="30" spans="1:6" ht="14.5" x14ac:dyDescent="0.35">
      <c r="A30" s="75"/>
      <c r="B30" s="75"/>
    </row>
    <row r="31" spans="1:6" ht="14.5" x14ac:dyDescent="0.35">
      <c r="A31" s="75"/>
      <c r="B31" s="75"/>
    </row>
    <row r="32" spans="1:6" ht="14.5" x14ac:dyDescent="0.35">
      <c r="A32" s="75"/>
      <c r="B32" s="75"/>
    </row>
    <row r="33" spans="1:2" ht="14.5" x14ac:dyDescent="0.35">
      <c r="A33" s="75"/>
      <c r="B33" s="75"/>
    </row>
    <row r="34" spans="1:2" ht="14.5" x14ac:dyDescent="0.35">
      <c r="A34" s="75"/>
      <c r="B34" s="75"/>
    </row>
    <row r="35" spans="1:2" ht="14.5" x14ac:dyDescent="0.35">
      <c r="A35" s="75"/>
      <c r="B35" s="75"/>
    </row>
    <row r="36" spans="1:2" ht="14.5" x14ac:dyDescent="0.35">
      <c r="A36" s="75"/>
      <c r="B36" s="75"/>
    </row>
    <row r="37" spans="1:2" ht="14.5" x14ac:dyDescent="0.35">
      <c r="A37" s="75"/>
      <c r="B37" s="75"/>
    </row>
    <row r="38" spans="1:2" ht="14.5" x14ac:dyDescent="0.35">
      <c r="A38" s="75"/>
      <c r="B38" s="75"/>
    </row>
    <row r="39" spans="1:2" ht="14.5" x14ac:dyDescent="0.35">
      <c r="A39" s="75"/>
      <c r="B39" s="75"/>
    </row>
    <row r="40" spans="1:2" ht="14.5" x14ac:dyDescent="0.35">
      <c r="A40" s="75"/>
      <c r="B40" s="75"/>
    </row>
    <row r="41" spans="1:2" ht="14.5" x14ac:dyDescent="0.35">
      <c r="A41" s="75"/>
      <c r="B41" s="75"/>
    </row>
    <row r="42" spans="1:2" ht="14.5" x14ac:dyDescent="0.35">
      <c r="A42" s="75"/>
      <c r="B42" s="75"/>
    </row>
    <row r="43" spans="1:2" ht="14.5" x14ac:dyDescent="0.35">
      <c r="A43" s="75"/>
      <c r="B43" s="75"/>
    </row>
    <row r="44" spans="1:2" ht="14.5" x14ac:dyDescent="0.35">
      <c r="A44" s="75"/>
      <c r="B44" s="75"/>
    </row>
    <row r="45" spans="1:2" ht="14.5" x14ac:dyDescent="0.35">
      <c r="A45" s="75"/>
      <c r="B45" s="75"/>
    </row>
    <row r="46" spans="1:2" ht="14.5" x14ac:dyDescent="0.35">
      <c r="A46" s="75"/>
      <c r="B46" s="75"/>
    </row>
    <row r="47" spans="1:2" ht="14.5" x14ac:dyDescent="0.35">
      <c r="A47" s="75"/>
      <c r="B47" s="75"/>
    </row>
  </sheetData>
  <mergeCells count="3">
    <mergeCell ref="B5:B10"/>
    <mergeCell ref="E5:E21"/>
    <mergeCell ref="B13:B2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13D3D-A869-4507-9FEF-BEF45A617873}">
  <sheetPr codeName="Sheet18"/>
  <dimension ref="A1:J15"/>
  <sheetViews>
    <sheetView topLeftCell="A2" workbookViewId="0">
      <selection activeCell="M20" sqref="M20"/>
    </sheetView>
  </sheetViews>
  <sheetFormatPr defaultColWidth="9.1796875" defaultRowHeight="13" x14ac:dyDescent="0.3"/>
  <cols>
    <col min="1" max="1" width="32.54296875" style="46" customWidth="1"/>
    <col min="2" max="7" width="8" style="46" customWidth="1"/>
    <col min="8" max="16384" width="9.1796875" style="46"/>
  </cols>
  <sheetData>
    <row r="1" spans="1:10" hidden="1" x14ac:dyDescent="0.3">
      <c r="A1" s="49"/>
      <c r="B1" s="49"/>
      <c r="C1" s="49"/>
      <c r="D1" s="49"/>
      <c r="E1" s="49"/>
      <c r="F1" s="49"/>
      <c r="G1" s="49"/>
    </row>
    <row r="2" spans="1:10" ht="24" x14ac:dyDescent="0.3">
      <c r="A2" s="90" t="s">
        <v>447</v>
      </c>
      <c r="B2" s="91" t="s">
        <v>244</v>
      </c>
      <c r="C2" s="91" t="s">
        <v>448</v>
      </c>
      <c r="D2" s="91" t="s">
        <v>245</v>
      </c>
      <c r="E2" s="91" t="s">
        <v>246</v>
      </c>
      <c r="F2" s="91" t="s">
        <v>247</v>
      </c>
      <c r="G2" s="91" t="s">
        <v>449</v>
      </c>
      <c r="H2" s="91" t="s">
        <v>248</v>
      </c>
    </row>
    <row r="3" spans="1:10" ht="2.25" customHeight="1" x14ac:dyDescent="0.3">
      <c r="A3" s="92"/>
      <c r="B3" s="92"/>
      <c r="C3" s="92"/>
      <c r="D3" s="92"/>
      <c r="E3" s="92"/>
      <c r="F3" s="92"/>
      <c r="G3" s="92"/>
      <c r="H3" s="92"/>
    </row>
    <row r="4" spans="1:10" x14ac:dyDescent="0.3">
      <c r="A4" s="93" t="s">
        <v>115</v>
      </c>
      <c r="B4" s="116">
        <v>1</v>
      </c>
      <c r="C4" s="117">
        <v>6003.0240000000003</v>
      </c>
      <c r="D4" s="117">
        <v>24114.339</v>
      </c>
      <c r="E4" s="117">
        <v>30117.363000000001</v>
      </c>
      <c r="F4" s="117">
        <v>2608</v>
      </c>
      <c r="G4" s="117">
        <v>538.75300000000016</v>
      </c>
      <c r="H4" s="117">
        <v>1304.6849999999999</v>
      </c>
      <c r="J4" s="58"/>
    </row>
    <row r="5" spans="1:10" ht="12.75" customHeight="1" x14ac:dyDescent="0.3">
      <c r="A5" s="93" t="s">
        <v>230</v>
      </c>
      <c r="B5" s="116">
        <v>1</v>
      </c>
      <c r="C5" s="117">
        <v>7654</v>
      </c>
      <c r="D5" s="117">
        <v>110776</v>
      </c>
      <c r="E5" s="117">
        <v>118430</v>
      </c>
      <c r="F5" s="117">
        <v>18516.637999999999</v>
      </c>
      <c r="G5" s="117">
        <v>22096.637999999999</v>
      </c>
      <c r="H5" s="117">
        <v>-3580</v>
      </c>
      <c r="J5" s="59"/>
    </row>
    <row r="6" spans="1:10" x14ac:dyDescent="0.3">
      <c r="A6" s="93" t="s">
        <v>117</v>
      </c>
      <c r="B6" s="116">
        <v>1</v>
      </c>
      <c r="C6" s="117">
        <v>26493.686000000002</v>
      </c>
      <c r="D6" s="117">
        <v>177987.34</v>
      </c>
      <c r="E6" s="117">
        <v>204481.027</v>
      </c>
      <c r="F6" s="117">
        <v>3050</v>
      </c>
      <c r="G6" s="117">
        <v>707.00300000000016</v>
      </c>
      <c r="H6" s="117">
        <v>2386.7869999999998</v>
      </c>
    </row>
    <row r="7" spans="1:10" ht="12.75" customHeight="1" x14ac:dyDescent="0.3">
      <c r="A7" s="93" t="s">
        <v>249</v>
      </c>
      <c r="B7" s="116">
        <v>1</v>
      </c>
      <c r="C7" s="117">
        <v>-262073.182</v>
      </c>
      <c r="D7" s="117">
        <v>794005.59</v>
      </c>
      <c r="E7" s="117">
        <v>531932.40800000005</v>
      </c>
      <c r="F7" s="117">
        <v>36413.163</v>
      </c>
      <c r="G7" s="117">
        <v>44257.747000000003</v>
      </c>
      <c r="H7" s="117">
        <v>-7844.5839999999998</v>
      </c>
    </row>
    <row r="8" spans="1:10" x14ac:dyDescent="0.3">
      <c r="A8" s="93" t="s">
        <v>118</v>
      </c>
      <c r="B8" s="116">
        <v>1</v>
      </c>
      <c r="C8" s="117">
        <v>62848.036999999997</v>
      </c>
      <c r="D8" s="117">
        <v>87788.788</v>
      </c>
      <c r="E8" s="117">
        <v>150636.82500000001</v>
      </c>
      <c r="F8" s="117">
        <v>7111.6049999999996</v>
      </c>
      <c r="G8" s="117">
        <v>8418.780999999999</v>
      </c>
      <c r="H8" s="117">
        <v>-1307.1759999999999</v>
      </c>
    </row>
    <row r="9" spans="1:10" s="53" customFormat="1" x14ac:dyDescent="0.3">
      <c r="A9" s="93" t="s">
        <v>250</v>
      </c>
      <c r="B9" s="116">
        <v>1</v>
      </c>
      <c r="C9" s="117">
        <v>41424.292999999998</v>
      </c>
      <c r="D9" s="117">
        <v>9418.9940000000006</v>
      </c>
      <c r="E9" s="117">
        <v>50843.286999999997</v>
      </c>
      <c r="F9" s="117">
        <v>9721.1839999999993</v>
      </c>
      <c r="G9" s="117">
        <v>3092.262999999999</v>
      </c>
      <c r="H9" s="117">
        <v>6628.9210000000003</v>
      </c>
    </row>
    <row r="10" spans="1:10" x14ac:dyDescent="0.3">
      <c r="A10" s="3" t="s">
        <v>80</v>
      </c>
      <c r="B10" s="118"/>
      <c r="C10" s="119">
        <f t="shared" ref="C10:H10" si="0">SUM(C4:C9)</f>
        <v>-117650.14199999999</v>
      </c>
      <c r="D10" s="119">
        <f t="shared" si="0"/>
        <v>1204091.0509999997</v>
      </c>
      <c r="E10" s="119">
        <f t="shared" si="0"/>
        <v>1086440.9100000001</v>
      </c>
      <c r="F10" s="119">
        <f t="shared" si="0"/>
        <v>77420.59</v>
      </c>
      <c r="G10" s="119">
        <f t="shared" si="0"/>
        <v>79111.184999999998</v>
      </c>
      <c r="H10" s="119">
        <f t="shared" si="0"/>
        <v>-2411.3670000000002</v>
      </c>
    </row>
    <row r="11" spans="1:10" ht="5.5" customHeight="1" x14ac:dyDescent="0.3">
      <c r="A11" s="114"/>
      <c r="B11" s="114"/>
      <c r="C11" s="114"/>
      <c r="D11" s="114"/>
      <c r="E11" s="114"/>
      <c r="F11" s="114"/>
      <c r="G11" s="114"/>
      <c r="H11" s="114"/>
    </row>
    <row r="15" spans="1:10" x14ac:dyDescent="0.3">
      <c r="A15" s="9"/>
      <c r="B15" s="76"/>
      <c r="C15" s="77"/>
      <c r="D15" s="77"/>
      <c r="E15" s="77"/>
      <c r="F15" s="77"/>
      <c r="G15" s="7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86424-0AAD-419B-96A1-6FD48203C5DB}">
  <sheetPr codeName="Sheet2"/>
  <dimension ref="A1:G22"/>
  <sheetViews>
    <sheetView workbookViewId="0">
      <selection activeCell="G29" sqref="G29"/>
    </sheetView>
  </sheetViews>
  <sheetFormatPr defaultColWidth="9.1796875" defaultRowHeight="12" x14ac:dyDescent="0.3"/>
  <cols>
    <col min="1" max="1" width="26.54296875" style="4" bestFit="1" customWidth="1"/>
    <col min="2" max="2" width="8.81640625" style="5" customWidth="1"/>
    <col min="3" max="3" width="7.54296875" style="5" customWidth="1"/>
    <col min="4" max="4" width="8" style="5" bestFit="1" customWidth="1"/>
    <col min="5" max="6" width="8.81640625" style="5" customWidth="1"/>
    <col min="7" max="7" width="8" style="5" customWidth="1"/>
    <col min="8" max="16384" width="9.1796875" style="4"/>
  </cols>
  <sheetData>
    <row r="1" spans="1:7" x14ac:dyDescent="0.3">
      <c r="A1" s="115"/>
      <c r="B1" s="115"/>
      <c r="C1" s="115"/>
      <c r="D1" s="115"/>
      <c r="E1" s="115"/>
    </row>
    <row r="2" spans="1:7" ht="24" x14ac:dyDescent="0.3">
      <c r="A2" s="161" t="s">
        <v>355</v>
      </c>
      <c r="B2" s="91" t="s">
        <v>356</v>
      </c>
      <c r="C2" s="91" t="s">
        <v>357</v>
      </c>
      <c r="D2" s="91" t="s">
        <v>358</v>
      </c>
      <c r="E2" s="91" t="s">
        <v>359</v>
      </c>
    </row>
    <row r="3" spans="1:7" x14ac:dyDescent="0.3">
      <c r="A3" s="137"/>
      <c r="B3" s="137"/>
      <c r="C3" s="137"/>
      <c r="D3" s="137"/>
      <c r="E3" s="137"/>
    </row>
    <row r="4" spans="1:7" x14ac:dyDescent="0.3">
      <c r="A4" s="93" t="s">
        <v>360</v>
      </c>
      <c r="B4" s="120">
        <v>2248.105</v>
      </c>
      <c r="C4" s="95">
        <v>0.8</v>
      </c>
      <c r="D4" s="95">
        <v>3.1</v>
      </c>
      <c r="E4" s="95">
        <v>2.9</v>
      </c>
    </row>
    <row r="5" spans="1:7" x14ac:dyDescent="0.3">
      <c r="A5" s="93" t="s">
        <v>306</v>
      </c>
      <c r="B5" s="120">
        <v>1192.4269999999999</v>
      </c>
      <c r="C5" s="95">
        <v>2.1</v>
      </c>
      <c r="D5" s="95">
        <v>1.8</v>
      </c>
      <c r="E5" s="95">
        <v>1</v>
      </c>
    </row>
    <row r="6" spans="1:7" x14ac:dyDescent="0.3">
      <c r="A6" s="93" t="s">
        <v>307</v>
      </c>
      <c r="B6" s="120">
        <v>1220.9860000000001</v>
      </c>
      <c r="C6" s="95">
        <v>7.7</v>
      </c>
      <c r="D6" s="95">
        <v>5</v>
      </c>
      <c r="E6" s="95">
        <v>-4.3</v>
      </c>
    </row>
    <row r="7" spans="1:7" s="11" customFormat="1" x14ac:dyDescent="0.3">
      <c r="A7" s="93" t="s">
        <v>361</v>
      </c>
      <c r="B7" s="120">
        <v>795.88199999999995</v>
      </c>
      <c r="C7" s="95">
        <v>7</v>
      </c>
      <c r="D7" s="95">
        <v>6.9</v>
      </c>
      <c r="E7" s="95">
        <v>-8.1999999999999993</v>
      </c>
      <c r="F7" s="5"/>
      <c r="G7" s="5"/>
    </row>
    <row r="8" spans="1:7" x14ac:dyDescent="0.3">
      <c r="A8" s="93" t="s">
        <v>362</v>
      </c>
      <c r="B8" s="120">
        <v>244.25800000000001</v>
      </c>
      <c r="C8" s="95">
        <v>18.899999999999999</v>
      </c>
      <c r="D8" s="95">
        <v>2.1</v>
      </c>
      <c r="E8" s="95">
        <v>1</v>
      </c>
    </row>
    <row r="9" spans="1:7" x14ac:dyDescent="0.3">
      <c r="A9" s="93" t="s">
        <v>363</v>
      </c>
      <c r="B9" s="120">
        <v>180.846</v>
      </c>
      <c r="C9" s="95">
        <v>-2.2000000000000002</v>
      </c>
      <c r="D9" s="95">
        <v>0.4</v>
      </c>
      <c r="E9" s="95">
        <v>6.8</v>
      </c>
    </row>
    <row r="10" spans="1:7" s="11" customFormat="1" x14ac:dyDescent="0.3">
      <c r="A10" s="93" t="s">
        <v>308</v>
      </c>
      <c r="B10" s="120">
        <v>1944.8420000000001</v>
      </c>
      <c r="C10" s="95">
        <v>-2.2999999999999998</v>
      </c>
      <c r="D10" s="95">
        <v>2.9</v>
      </c>
      <c r="E10" s="95">
        <v>2.5</v>
      </c>
      <c r="F10" s="5"/>
      <c r="G10" s="5"/>
    </row>
    <row r="11" spans="1:7" x14ac:dyDescent="0.3">
      <c r="A11" s="93" t="s">
        <v>309</v>
      </c>
      <c r="B11" s="120">
        <v>1983.49</v>
      </c>
      <c r="C11" s="95">
        <v>3.3</v>
      </c>
      <c r="D11" s="95">
        <v>5.5</v>
      </c>
      <c r="E11" s="95">
        <v>-2.2999999999999998</v>
      </c>
    </row>
    <row r="12" spans="1:7" x14ac:dyDescent="0.3">
      <c r="A12" s="93" t="s">
        <v>310</v>
      </c>
      <c r="B12" s="120">
        <v>4637.0460000000003</v>
      </c>
      <c r="C12" s="95">
        <v>1.8</v>
      </c>
      <c r="D12" s="95">
        <v>3.3</v>
      </c>
      <c r="E12" s="95">
        <v>0.6</v>
      </c>
    </row>
    <row r="13" spans="1:7" s="11" customFormat="1" x14ac:dyDescent="0.3">
      <c r="A13" s="93" t="s">
        <v>120</v>
      </c>
      <c r="B13" s="120">
        <v>4598.3980000000001</v>
      </c>
      <c r="C13" s="95">
        <v>-0.7</v>
      </c>
      <c r="D13" s="95">
        <v>2.2000000000000002</v>
      </c>
      <c r="E13" s="95">
        <v>2.6</v>
      </c>
      <c r="F13" s="5"/>
      <c r="G13" s="5"/>
    </row>
    <row r="14" spans="1:7" x14ac:dyDescent="0.3">
      <c r="A14" s="93"/>
      <c r="B14" s="95"/>
      <c r="C14" s="95"/>
      <c r="D14" s="95"/>
      <c r="E14" s="95"/>
    </row>
    <row r="15" spans="1:7" x14ac:dyDescent="0.3">
      <c r="A15" s="93" t="s">
        <v>311</v>
      </c>
      <c r="B15" s="95"/>
      <c r="C15" s="95">
        <v>-0.8</v>
      </c>
      <c r="D15" s="95">
        <v>-1.4</v>
      </c>
      <c r="E15" s="95">
        <v>0.4</v>
      </c>
    </row>
    <row r="16" spans="1:7" x14ac:dyDescent="0.3">
      <c r="A16" s="93" t="s">
        <v>312</v>
      </c>
      <c r="B16" s="95"/>
      <c r="C16" s="95">
        <v>-2.7</v>
      </c>
      <c r="D16" s="95">
        <v>-2.4</v>
      </c>
      <c r="E16" s="95">
        <v>-0.6</v>
      </c>
    </row>
    <row r="17" spans="1:5" x14ac:dyDescent="0.3">
      <c r="A17" s="93"/>
      <c r="B17" s="95"/>
      <c r="C17" s="95"/>
      <c r="D17" s="95"/>
      <c r="E17" s="95"/>
    </row>
    <row r="18" spans="1:5" x14ac:dyDescent="0.3">
      <c r="A18" s="93" t="s">
        <v>313</v>
      </c>
      <c r="B18" s="95"/>
      <c r="C18" s="95">
        <v>5.9</v>
      </c>
      <c r="D18" s="95">
        <v>3.8</v>
      </c>
      <c r="E18" s="95">
        <v>3.2</v>
      </c>
    </row>
    <row r="19" spans="1:5" x14ac:dyDescent="0.3">
      <c r="A19" s="93"/>
      <c r="B19" s="95"/>
      <c r="C19" s="95"/>
      <c r="D19" s="95"/>
      <c r="E19" s="95"/>
    </row>
    <row r="20" spans="1:5" x14ac:dyDescent="0.3">
      <c r="A20" s="93" t="s">
        <v>314</v>
      </c>
      <c r="B20" s="95"/>
      <c r="C20" s="95">
        <v>3.5</v>
      </c>
      <c r="D20" s="95">
        <v>4</v>
      </c>
      <c r="E20" s="95">
        <v>4.0999999999999996</v>
      </c>
    </row>
    <row r="21" spans="1:5" x14ac:dyDescent="0.3">
      <c r="A21" s="93" t="s">
        <v>315</v>
      </c>
      <c r="B21" s="95"/>
      <c r="C21" s="95">
        <v>3.4</v>
      </c>
      <c r="D21" s="95">
        <v>7.4</v>
      </c>
      <c r="E21" s="95">
        <v>4.8</v>
      </c>
    </row>
    <row r="22" spans="1:5" ht="4.5" customHeight="1" x14ac:dyDescent="0.3">
      <c r="A22" s="101"/>
      <c r="B22" s="101"/>
      <c r="C22" s="101"/>
      <c r="D22" s="101"/>
      <c r="E22" s="101"/>
    </row>
  </sheetData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1FC73-C40B-4DED-AB35-E08F12601B91}">
  <sheetPr codeName="Sheet19"/>
  <dimension ref="A1:P23"/>
  <sheetViews>
    <sheetView workbookViewId="0">
      <selection activeCell="R36" sqref="R36"/>
    </sheetView>
  </sheetViews>
  <sheetFormatPr defaultColWidth="9.1796875" defaultRowHeight="13" x14ac:dyDescent="0.3"/>
  <cols>
    <col min="1" max="1" width="28.81640625" style="46" customWidth="1"/>
    <col min="2" max="2" width="10.453125" style="46" customWidth="1"/>
    <col min="3" max="3" width="11" style="46" customWidth="1"/>
    <col min="4" max="4" width="10.453125" style="46" customWidth="1"/>
    <col min="5" max="16384" width="9.1796875" style="46"/>
  </cols>
  <sheetData>
    <row r="1" spans="1:16" ht="0.75" customHeight="1" x14ac:dyDescent="0.3">
      <c r="A1" s="49"/>
      <c r="B1" s="49"/>
      <c r="C1" s="49"/>
      <c r="D1" s="49"/>
    </row>
    <row r="2" spans="1:16" ht="25.5" x14ac:dyDescent="0.3">
      <c r="A2" s="90" t="s">
        <v>39</v>
      </c>
      <c r="B2" s="91" t="s">
        <v>248</v>
      </c>
      <c r="C2" s="91" t="s">
        <v>326</v>
      </c>
      <c r="D2" s="91" t="s">
        <v>251</v>
      </c>
    </row>
    <row r="3" spans="1:16" ht="3" customHeight="1" x14ac:dyDescent="0.3">
      <c r="A3" s="92"/>
      <c r="B3" s="92"/>
      <c r="C3" s="92"/>
      <c r="D3" s="92"/>
    </row>
    <row r="4" spans="1:16" x14ac:dyDescent="0.3">
      <c r="A4" s="93" t="s">
        <v>115</v>
      </c>
      <c r="B4" s="120">
        <v>728.1</v>
      </c>
      <c r="C4" s="121">
        <v>5000</v>
      </c>
      <c r="D4" s="121">
        <v>5000</v>
      </c>
    </row>
    <row r="5" spans="1:16" x14ac:dyDescent="0.3">
      <c r="A5" s="93" t="s">
        <v>230</v>
      </c>
      <c r="B5" s="120">
        <v>-6802.3391799999999</v>
      </c>
      <c r="C5" s="121">
        <v>1500</v>
      </c>
      <c r="D5" s="121">
        <v>0</v>
      </c>
    </row>
    <row r="6" spans="1:16" ht="12.75" customHeight="1" x14ac:dyDescent="0.3">
      <c r="A6" s="93" t="s">
        <v>117</v>
      </c>
      <c r="B6" s="120">
        <v>3232.9140000000002</v>
      </c>
      <c r="C6" s="120">
        <v>20000</v>
      </c>
      <c r="D6" s="120">
        <v>20000</v>
      </c>
    </row>
    <row r="7" spans="1:16" ht="12.75" customHeight="1" x14ac:dyDescent="0.3">
      <c r="A7" s="122" t="s">
        <v>252</v>
      </c>
      <c r="B7" s="123"/>
      <c r="C7" s="123"/>
      <c r="D7" s="123">
        <v>4000</v>
      </c>
    </row>
    <row r="8" spans="1:16" x14ac:dyDescent="0.3">
      <c r="A8" s="93" t="s">
        <v>118</v>
      </c>
      <c r="B8" s="120">
        <v>7700.9260000000004</v>
      </c>
      <c r="C8" s="121">
        <v>10000</v>
      </c>
      <c r="D8" s="121">
        <v>10000</v>
      </c>
      <c r="H8" s="80"/>
    </row>
    <row r="9" spans="1:16" x14ac:dyDescent="0.3">
      <c r="A9" s="93" t="s">
        <v>253</v>
      </c>
      <c r="B9" s="120">
        <v>3727.2660000000001</v>
      </c>
      <c r="C9" s="121">
        <v>0</v>
      </c>
      <c r="D9" s="121">
        <v>0</v>
      </c>
      <c r="H9" s="80"/>
    </row>
    <row r="10" spans="1:16" x14ac:dyDescent="0.3">
      <c r="A10" s="3" t="s">
        <v>80</v>
      </c>
      <c r="B10" s="119">
        <f>SUM(B4:B9)-B7</f>
        <v>8586.8668200000011</v>
      </c>
      <c r="C10" s="119">
        <f>SUM(C4:C9)-C7</f>
        <v>36500</v>
      </c>
      <c r="D10" s="119">
        <f>SUM(D4:D9)-D7</f>
        <v>35000</v>
      </c>
      <c r="H10" s="80"/>
    </row>
    <row r="11" spans="1:16" x14ac:dyDescent="0.3">
      <c r="A11" s="101"/>
      <c r="B11" s="101"/>
      <c r="C11" s="101"/>
      <c r="D11" s="101"/>
      <c r="H11" s="80"/>
    </row>
    <row r="12" spans="1:16" x14ac:dyDescent="0.3">
      <c r="A12" s="78" t="s">
        <v>450</v>
      </c>
      <c r="B12" s="78"/>
      <c r="C12" s="78"/>
      <c r="D12" s="78"/>
      <c r="H12" s="80"/>
    </row>
    <row r="13" spans="1:16" ht="6.65" customHeight="1" x14ac:dyDescent="0.3">
      <c r="A13" s="92"/>
      <c r="B13" s="92"/>
      <c r="C13" s="92"/>
      <c r="D13" s="92"/>
      <c r="H13" s="80"/>
      <c r="J13" s="81"/>
    </row>
    <row r="14" spans="1:16" x14ac:dyDescent="0.3">
      <c r="A14" s="78"/>
      <c r="B14" s="4"/>
      <c r="C14" s="4"/>
      <c r="D14" s="4"/>
      <c r="H14" s="80"/>
      <c r="J14" s="81"/>
    </row>
    <row r="15" spans="1:16" s="52" customFormat="1" x14ac:dyDescent="0.3">
      <c r="H15" s="80"/>
      <c r="I15" s="46"/>
      <c r="J15" s="46"/>
      <c r="K15" s="46"/>
      <c r="L15" s="46"/>
      <c r="M15" s="46"/>
      <c r="N15" s="46"/>
      <c r="O15" s="46"/>
      <c r="P15" s="46"/>
    </row>
    <row r="16" spans="1:16" x14ac:dyDescent="0.3">
      <c r="A16" s="78"/>
      <c r="H16" s="80"/>
      <c r="J16" s="80"/>
    </row>
    <row r="17" spans="7:10" x14ac:dyDescent="0.3">
      <c r="H17" s="80"/>
      <c r="J17" s="81"/>
    </row>
    <row r="18" spans="7:10" x14ac:dyDescent="0.3">
      <c r="H18" s="80"/>
      <c r="J18" s="81"/>
    </row>
    <row r="19" spans="7:10" x14ac:dyDescent="0.3">
      <c r="H19" s="80"/>
      <c r="J19" s="81"/>
    </row>
    <row r="20" spans="7:10" x14ac:dyDescent="0.3">
      <c r="G20" s="9"/>
      <c r="H20" s="16"/>
      <c r="I20" s="79"/>
      <c r="J20" s="79"/>
    </row>
    <row r="21" spans="7:10" x14ac:dyDescent="0.3">
      <c r="H21" s="80"/>
      <c r="J21" s="81"/>
    </row>
    <row r="22" spans="7:10" x14ac:dyDescent="0.3">
      <c r="H22" s="80"/>
      <c r="J22" s="81"/>
    </row>
    <row r="23" spans="7:10" x14ac:dyDescent="0.3">
      <c r="H23" s="80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C93D1-9826-4EF0-B54E-01BE77720C24}">
  <sheetPr codeName="Sheet20"/>
  <dimension ref="A1:M33"/>
  <sheetViews>
    <sheetView topLeftCell="A2" workbookViewId="0">
      <selection activeCell="E37" sqref="E37"/>
    </sheetView>
  </sheetViews>
  <sheetFormatPr defaultColWidth="8.54296875" defaultRowHeight="14.5" x14ac:dyDescent="0.35"/>
  <cols>
    <col min="1" max="1" width="45.54296875" style="82" customWidth="1"/>
    <col min="2" max="3" width="10.54296875" style="82" customWidth="1"/>
    <col min="4" max="4" width="8.54296875" style="82"/>
    <col min="5" max="5" width="50.54296875" style="82" customWidth="1"/>
    <col min="6" max="16384" width="8.54296875" style="82"/>
  </cols>
  <sheetData>
    <row r="1" spans="1:13" hidden="1" x14ac:dyDescent="0.35">
      <c r="A1" s="4"/>
      <c r="B1" s="4"/>
      <c r="C1" s="4"/>
    </row>
    <row r="2" spans="1:13" s="83" customFormat="1" ht="24.5" x14ac:dyDescent="0.35">
      <c r="A2" s="90" t="s">
        <v>39</v>
      </c>
      <c r="B2" s="91" t="s">
        <v>451</v>
      </c>
      <c r="C2" s="91" t="s">
        <v>367</v>
      </c>
      <c r="D2" s="91" t="s">
        <v>254</v>
      </c>
      <c r="M2" s="51"/>
    </row>
    <row r="3" spans="1:13" ht="1.5" customHeight="1" x14ac:dyDescent="0.35">
      <c r="A3" s="92"/>
      <c r="B3" s="92"/>
      <c r="C3" s="92"/>
      <c r="D3" s="1"/>
      <c r="G3" s="50"/>
      <c r="H3" s="50"/>
      <c r="I3" s="50"/>
      <c r="J3" s="50"/>
      <c r="K3" s="50"/>
      <c r="L3" s="50"/>
      <c r="M3" s="50"/>
    </row>
    <row r="4" spans="1:13" ht="15" customHeight="1" x14ac:dyDescent="0.35">
      <c r="A4" s="124" t="s">
        <v>255</v>
      </c>
      <c r="B4" s="125"/>
      <c r="C4" s="125"/>
      <c r="D4" s="1"/>
      <c r="E4" s="11"/>
    </row>
    <row r="5" spans="1:13" ht="15" customHeight="1" x14ac:dyDescent="0.35">
      <c r="A5" s="93" t="s">
        <v>256</v>
      </c>
      <c r="B5" s="120">
        <v>27078.606</v>
      </c>
      <c r="C5" s="94">
        <v>28872.282850000003</v>
      </c>
      <c r="D5" s="94">
        <f t="shared" ref="D5:D12" si="0">+C5-B5</f>
        <v>1793.6768500000035</v>
      </c>
      <c r="E5" s="9"/>
      <c r="G5" s="15"/>
      <c r="H5" s="15"/>
      <c r="I5" s="50"/>
      <c r="J5" s="50"/>
      <c r="K5" s="50"/>
      <c r="L5" s="50"/>
      <c r="M5" s="50"/>
    </row>
    <row r="6" spans="1:13" x14ac:dyDescent="0.35">
      <c r="A6" s="93" t="s">
        <v>257</v>
      </c>
      <c r="B6" s="120">
        <v>18016.736666666664</v>
      </c>
      <c r="C6" s="94">
        <v>18772.56105</v>
      </c>
      <c r="D6" s="94">
        <f t="shared" si="0"/>
        <v>755.8243833333363</v>
      </c>
      <c r="E6" s="9"/>
      <c r="G6" s="15"/>
      <c r="H6" s="15"/>
      <c r="I6" s="50"/>
      <c r="J6" s="50"/>
      <c r="K6" s="50"/>
      <c r="L6" s="50"/>
      <c r="M6" s="50"/>
    </row>
    <row r="7" spans="1:13" x14ac:dyDescent="0.35">
      <c r="A7" s="93" t="s">
        <v>258</v>
      </c>
      <c r="B7" s="120">
        <v>42799.659</v>
      </c>
      <c r="C7" s="94">
        <v>28078.623</v>
      </c>
      <c r="D7" s="94">
        <f t="shared" si="0"/>
        <v>-14721.036</v>
      </c>
      <c r="E7" s="9"/>
      <c r="G7" s="15"/>
      <c r="H7" s="15"/>
      <c r="I7" s="50"/>
      <c r="J7" s="50"/>
      <c r="K7" s="50"/>
      <c r="L7" s="50"/>
      <c r="M7" s="50"/>
    </row>
    <row r="8" spans="1:13" x14ac:dyDescent="0.35">
      <c r="A8" s="93" t="s">
        <v>259</v>
      </c>
      <c r="B8" s="120">
        <v>48759.535083333336</v>
      </c>
      <c r="C8" s="94">
        <v>28151.171340000001</v>
      </c>
      <c r="D8" s="94">
        <f t="shared" si="0"/>
        <v>-20608.363743333335</v>
      </c>
      <c r="E8" s="9"/>
      <c r="G8" s="15"/>
      <c r="H8" s="15"/>
      <c r="I8" s="50"/>
      <c r="J8" s="50"/>
      <c r="K8" s="50"/>
      <c r="L8" s="50"/>
      <c r="M8" s="50"/>
    </row>
    <row r="9" spans="1:13" x14ac:dyDescent="0.35">
      <c r="A9" s="93" t="s">
        <v>260</v>
      </c>
      <c r="B9" s="120">
        <v>2796.3449999999998</v>
      </c>
      <c r="C9" s="94">
        <v>2953.9426400000002</v>
      </c>
      <c r="D9" s="94">
        <f t="shared" si="0"/>
        <v>157.59764000000041</v>
      </c>
      <c r="E9" s="9"/>
      <c r="G9" s="15"/>
      <c r="H9" s="15"/>
      <c r="I9" s="50"/>
      <c r="J9" s="50"/>
      <c r="K9" s="50"/>
      <c r="L9" s="50"/>
      <c r="M9" s="50"/>
    </row>
    <row r="10" spans="1:13" x14ac:dyDescent="0.35">
      <c r="A10" s="3" t="s">
        <v>261</v>
      </c>
      <c r="B10" s="119">
        <v>305.64825000000002</v>
      </c>
      <c r="C10" s="126">
        <v>7073.2308199999961</v>
      </c>
      <c r="D10" s="126">
        <f t="shared" si="0"/>
        <v>6767.5825699999959</v>
      </c>
      <c r="E10" s="10"/>
      <c r="G10" s="15"/>
      <c r="H10" s="15"/>
      <c r="I10" s="50"/>
      <c r="J10" s="50"/>
      <c r="K10" s="50"/>
      <c r="L10" s="50"/>
      <c r="M10" s="50"/>
    </row>
    <row r="11" spans="1:13" x14ac:dyDescent="0.35">
      <c r="A11" s="93" t="s">
        <v>262</v>
      </c>
      <c r="B11" s="120">
        <v>1629.2</v>
      </c>
      <c r="C11" s="94">
        <v>1513.636</v>
      </c>
      <c r="D11" s="94">
        <f t="shared" si="0"/>
        <v>-115.56400000000008</v>
      </c>
      <c r="E11" s="9"/>
      <c r="G11" s="50"/>
      <c r="H11" s="50"/>
      <c r="I11" s="50"/>
      <c r="J11" s="50"/>
      <c r="K11" s="50"/>
      <c r="L11" s="50"/>
      <c r="M11" s="50"/>
    </row>
    <row r="12" spans="1:13" x14ac:dyDescent="0.35">
      <c r="A12" s="3" t="s">
        <v>264</v>
      </c>
      <c r="B12" s="119">
        <v>1934.84825</v>
      </c>
      <c r="C12" s="126">
        <v>8586.8668199999975</v>
      </c>
      <c r="D12" s="126">
        <f t="shared" si="0"/>
        <v>6652.0185699999975</v>
      </c>
      <c r="E12" s="9"/>
      <c r="G12" s="50"/>
      <c r="H12" s="50"/>
      <c r="I12" s="50"/>
      <c r="J12" s="50"/>
      <c r="K12" s="50"/>
      <c r="L12" s="50"/>
      <c r="M12" s="50"/>
    </row>
    <row r="13" spans="1:13" ht="15" customHeight="1" x14ac:dyDescent="0.35">
      <c r="A13" s="124" t="s">
        <v>265</v>
      </c>
      <c r="B13" s="120"/>
      <c r="C13" s="94"/>
      <c r="D13" s="94"/>
      <c r="E13" s="9"/>
      <c r="G13" s="50"/>
      <c r="H13" s="50"/>
      <c r="I13" s="50"/>
      <c r="J13" s="50"/>
      <c r="K13" s="50"/>
      <c r="L13" s="50"/>
      <c r="M13" s="50"/>
    </row>
    <row r="14" spans="1:13" ht="15" customHeight="1" x14ac:dyDescent="0.35">
      <c r="A14" s="93" t="s">
        <v>264</v>
      </c>
      <c r="B14" s="120">
        <v>1934.84825</v>
      </c>
      <c r="C14" s="94">
        <v>8586.8668199999975</v>
      </c>
      <c r="D14" s="94">
        <f t="shared" ref="D14:D30" si="1">+C14-B14</f>
        <v>6652.0185699999975</v>
      </c>
      <c r="E14" s="10"/>
      <c r="G14" s="50"/>
      <c r="H14" s="50"/>
      <c r="I14" s="50"/>
      <c r="J14" s="50"/>
      <c r="K14" s="50"/>
      <c r="L14" s="50"/>
      <c r="M14" s="50"/>
    </row>
    <row r="15" spans="1:13" x14ac:dyDescent="0.35">
      <c r="A15" s="93" t="s">
        <v>266</v>
      </c>
      <c r="B15" s="120">
        <v>2499.9613333333341</v>
      </c>
      <c r="C15" s="94">
        <v>1627.93904</v>
      </c>
      <c r="D15" s="94">
        <f t="shared" si="1"/>
        <v>-872.02229333333412</v>
      </c>
      <c r="E15" s="11"/>
      <c r="J15" s="50"/>
      <c r="K15" s="50"/>
      <c r="L15" s="50"/>
      <c r="M15" s="50"/>
    </row>
    <row r="16" spans="1:13" x14ac:dyDescent="0.35">
      <c r="A16" s="93" t="s">
        <v>267</v>
      </c>
      <c r="B16" s="120">
        <v>-2419.9290000000001</v>
      </c>
      <c r="C16" s="94">
        <v>-3080.7797400000004</v>
      </c>
      <c r="D16" s="94">
        <f t="shared" si="1"/>
        <v>-660.85074000000031</v>
      </c>
      <c r="E16" s="9"/>
      <c r="G16" s="50"/>
      <c r="H16" s="50"/>
    </row>
    <row r="17" spans="1:9" x14ac:dyDescent="0.35">
      <c r="A17" s="3" t="s">
        <v>83</v>
      </c>
      <c r="B17" s="119">
        <v>2014.880583333334</v>
      </c>
      <c r="C17" s="126">
        <v>7134.0261199999959</v>
      </c>
      <c r="D17" s="126">
        <f t="shared" si="1"/>
        <v>5119.1455366666614</v>
      </c>
      <c r="E17" s="9"/>
      <c r="G17" s="50"/>
      <c r="H17" s="50"/>
    </row>
    <row r="18" spans="1:9" ht="15" customHeight="1" x14ac:dyDescent="0.35">
      <c r="A18" s="93" t="s">
        <v>85</v>
      </c>
      <c r="B18" s="120">
        <v>33721.902000000002</v>
      </c>
      <c r="C18" s="94">
        <v>35000</v>
      </c>
      <c r="D18" s="94">
        <f t="shared" si="1"/>
        <v>1278.0979999999981</v>
      </c>
      <c r="E18" s="9"/>
      <c r="G18" s="50"/>
      <c r="H18" s="50"/>
    </row>
    <row r="19" spans="1:9" ht="15" customHeight="1" x14ac:dyDescent="0.35">
      <c r="A19" s="93" t="s">
        <v>268</v>
      </c>
      <c r="B19" s="120">
        <v>35392.69941666667</v>
      </c>
      <c r="C19" s="94">
        <v>28834.134999999998</v>
      </c>
      <c r="D19" s="94">
        <f t="shared" si="1"/>
        <v>-6558.5644166666716</v>
      </c>
      <c r="E19" s="10"/>
    </row>
    <row r="20" spans="1:9" x14ac:dyDescent="0.35">
      <c r="A20" s="93" t="s">
        <v>269</v>
      </c>
      <c r="B20" s="120">
        <v>-10891.762000000001</v>
      </c>
      <c r="C20" s="94">
        <v>-10968.425230000001</v>
      </c>
      <c r="D20" s="94">
        <f t="shared" si="1"/>
        <v>-76.663230000000112</v>
      </c>
      <c r="E20" s="9"/>
      <c r="G20" s="50"/>
      <c r="H20" s="50"/>
      <c r="I20" s="50"/>
    </row>
    <row r="21" spans="1:9" x14ac:dyDescent="0.35">
      <c r="A21" s="93" t="s">
        <v>270</v>
      </c>
      <c r="B21" s="120">
        <v>-4612.2950000000001</v>
      </c>
      <c r="C21" s="94">
        <v>-4764.393</v>
      </c>
      <c r="D21" s="94">
        <f t="shared" si="1"/>
        <v>-152.09799999999996</v>
      </c>
      <c r="E21" s="9"/>
      <c r="G21" s="50"/>
      <c r="H21" s="50"/>
    </row>
    <row r="22" spans="1:9" ht="15" customHeight="1" x14ac:dyDescent="0.35">
      <c r="A22" s="93" t="s">
        <v>414</v>
      </c>
      <c r="B22" s="120">
        <v>10522.247083333334</v>
      </c>
      <c r="C22" s="94">
        <v>0</v>
      </c>
      <c r="D22" s="94">
        <f t="shared" si="1"/>
        <v>-10522.247083333334</v>
      </c>
      <c r="E22" s="9"/>
      <c r="G22" s="50"/>
      <c r="H22" s="50"/>
    </row>
    <row r="23" spans="1:9" ht="15" customHeight="1" x14ac:dyDescent="0.35">
      <c r="A23" s="3" t="s">
        <v>271</v>
      </c>
      <c r="B23" s="119">
        <v>-3311.0124999999944</v>
      </c>
      <c r="C23" s="126">
        <v>-21898.683229999999</v>
      </c>
      <c r="D23" s="126">
        <f t="shared" si="1"/>
        <v>-18587.670730000005</v>
      </c>
      <c r="E23" s="9"/>
      <c r="G23" s="50"/>
      <c r="H23" s="50"/>
    </row>
    <row r="24" spans="1:9" ht="15" customHeight="1" x14ac:dyDescent="0.35">
      <c r="A24" s="93" t="s">
        <v>272</v>
      </c>
      <c r="B24" s="120">
        <v>36426.699999999997</v>
      </c>
      <c r="C24" s="94">
        <v>36500</v>
      </c>
      <c r="D24" s="94">
        <f t="shared" si="1"/>
        <v>73.30000000000291</v>
      </c>
      <c r="E24" s="9"/>
      <c r="G24" s="50"/>
      <c r="H24" s="50"/>
    </row>
    <row r="25" spans="1:9" ht="15" customHeight="1" x14ac:dyDescent="0.35">
      <c r="A25" s="93" t="s">
        <v>273</v>
      </c>
      <c r="B25" s="120">
        <v>36578.475833333338</v>
      </c>
      <c r="C25" s="94">
        <v>22128.212399999997</v>
      </c>
      <c r="D25" s="94">
        <f t="shared" si="1"/>
        <v>-14450.263433333341</v>
      </c>
      <c r="E25" s="10"/>
    </row>
    <row r="26" spans="1:9" s="83" customFormat="1" x14ac:dyDescent="0.35">
      <c r="A26" s="93" t="s">
        <v>414</v>
      </c>
      <c r="B26" s="120">
        <v>0</v>
      </c>
      <c r="C26" s="94">
        <v>0</v>
      </c>
      <c r="D26" s="94">
        <f t="shared" si="1"/>
        <v>0</v>
      </c>
      <c r="E26" s="9"/>
    </row>
    <row r="27" spans="1:9" x14ac:dyDescent="0.35">
      <c r="A27" s="3" t="s">
        <v>93</v>
      </c>
      <c r="B27" s="119">
        <v>-151.77583333333581</v>
      </c>
      <c r="C27" s="126">
        <v>14371.787600000001</v>
      </c>
      <c r="D27" s="126">
        <f t="shared" si="1"/>
        <v>14523.563433333336</v>
      </c>
      <c r="E27" s="9"/>
    </row>
    <row r="28" spans="1:9" x14ac:dyDescent="0.35">
      <c r="A28" s="3" t="s">
        <v>94</v>
      </c>
      <c r="B28" s="119">
        <v>-1447.9077499999962</v>
      </c>
      <c r="C28" s="126">
        <v>-392.86951000000352</v>
      </c>
      <c r="D28" s="126">
        <f t="shared" si="1"/>
        <v>1055.0382399999926</v>
      </c>
      <c r="E28" s="9"/>
    </row>
    <row r="29" spans="1:9" x14ac:dyDescent="0.35">
      <c r="A29" s="93" t="s">
        <v>276</v>
      </c>
      <c r="B29" s="120">
        <v>51825.139000000003</v>
      </c>
      <c r="C29" s="94">
        <v>50377.231249999997</v>
      </c>
      <c r="D29" s="94">
        <f t="shared" si="1"/>
        <v>-1447.9077500000058</v>
      </c>
      <c r="E29" s="9"/>
    </row>
    <row r="30" spans="1:9" x14ac:dyDescent="0.35">
      <c r="A30" s="93" t="s">
        <v>277</v>
      </c>
      <c r="B30" s="120">
        <v>50377.231249999997</v>
      </c>
      <c r="C30" s="94">
        <v>49984.361739999993</v>
      </c>
      <c r="D30" s="94">
        <f t="shared" si="1"/>
        <v>-392.86951000000408</v>
      </c>
      <c r="E30" s="9"/>
    </row>
    <row r="31" spans="1:9" x14ac:dyDescent="0.35">
      <c r="A31" s="93"/>
      <c r="B31" s="120"/>
      <c r="C31" s="94"/>
      <c r="D31" s="94"/>
      <c r="E31" s="9"/>
    </row>
    <row r="32" spans="1:9" ht="0.75" customHeight="1" x14ac:dyDescent="0.35">
      <c r="A32" s="101"/>
      <c r="B32" s="127"/>
      <c r="C32" s="127"/>
      <c r="D32" s="127"/>
    </row>
    <row r="33" spans="3:3" x14ac:dyDescent="0.35">
      <c r="C33" s="84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05309-7033-4704-9515-B0309247627A}">
  <sheetPr codeName="Sheet21"/>
  <dimension ref="A1:H26"/>
  <sheetViews>
    <sheetView workbookViewId="0">
      <selection activeCell="J36" sqref="J36"/>
    </sheetView>
  </sheetViews>
  <sheetFormatPr defaultColWidth="9.1796875" defaultRowHeight="13" x14ac:dyDescent="0.3"/>
  <cols>
    <col min="1" max="1" width="26.1796875" style="46" customWidth="1"/>
    <col min="2" max="5" width="6.81640625" style="46" customWidth="1"/>
    <col min="6" max="6" width="6.54296875" style="46" customWidth="1"/>
    <col min="7" max="7" width="3.81640625" style="46" customWidth="1"/>
    <col min="8" max="8" width="8.54296875" style="46" customWidth="1"/>
    <col min="9" max="12" width="9.1796875" style="46"/>
    <col min="13" max="13" width="32.1796875" style="46" customWidth="1"/>
    <col min="14" max="16384" width="9.1796875" style="46"/>
  </cols>
  <sheetData>
    <row r="1" spans="1:8" ht="6.65" customHeight="1" x14ac:dyDescent="0.3">
      <c r="A1" s="49"/>
      <c r="B1" s="49"/>
      <c r="C1" s="49"/>
      <c r="D1" s="49"/>
      <c r="E1" s="49"/>
      <c r="F1" s="49"/>
      <c r="G1" s="49"/>
      <c r="H1" s="49"/>
    </row>
    <row r="2" spans="1:8" ht="24" x14ac:dyDescent="0.3">
      <c r="A2" s="90" t="s">
        <v>452</v>
      </c>
      <c r="B2" s="91" t="s">
        <v>244</v>
      </c>
      <c r="C2" s="91" t="s">
        <v>448</v>
      </c>
      <c r="D2" s="91" t="s">
        <v>245</v>
      </c>
      <c r="E2" s="91" t="s">
        <v>246</v>
      </c>
      <c r="F2" s="91" t="s">
        <v>247</v>
      </c>
      <c r="G2" s="91" t="s">
        <v>449</v>
      </c>
      <c r="H2" s="91" t="s">
        <v>248</v>
      </c>
    </row>
    <row r="3" spans="1:8" x14ac:dyDescent="0.3">
      <c r="A3" s="92"/>
      <c r="B3" s="92"/>
      <c r="C3" s="92"/>
      <c r="D3" s="92"/>
      <c r="E3" s="92"/>
      <c r="F3" s="92"/>
      <c r="G3" s="92"/>
      <c r="H3" s="92"/>
    </row>
    <row r="4" spans="1:8" x14ac:dyDescent="0.3">
      <c r="A4" s="93" t="s">
        <v>114</v>
      </c>
      <c r="B4" s="178">
        <v>1</v>
      </c>
      <c r="C4" s="120">
        <v>15004</v>
      </c>
      <c r="D4" s="120">
        <v>13339.361000000001</v>
      </c>
      <c r="E4" s="120">
        <v>28343.361000000001</v>
      </c>
      <c r="F4" s="179">
        <v>0</v>
      </c>
      <c r="G4" s="180" t="s">
        <v>431</v>
      </c>
      <c r="H4" s="179">
        <v>0</v>
      </c>
    </row>
    <row r="5" spans="1:8" x14ac:dyDescent="0.3">
      <c r="A5" s="93" t="s">
        <v>238</v>
      </c>
      <c r="B5" s="178">
        <v>1</v>
      </c>
      <c r="C5" s="120">
        <v>-2395.3879999999999</v>
      </c>
      <c r="D5" s="120">
        <v>57517.722000000002</v>
      </c>
      <c r="E5" s="120">
        <v>55122.334000000003</v>
      </c>
      <c r="F5" s="120">
        <v>3438.056</v>
      </c>
      <c r="G5" s="180" t="s">
        <v>431</v>
      </c>
      <c r="H5" s="120">
        <v>-99.055000000000007</v>
      </c>
    </row>
    <row r="6" spans="1:8" x14ac:dyDescent="0.3">
      <c r="A6" s="93" t="s">
        <v>453</v>
      </c>
      <c r="B6" s="178">
        <v>1</v>
      </c>
      <c r="C6" s="120">
        <v>20650.062999999998</v>
      </c>
      <c r="D6" s="120">
        <v>33218.423000000003</v>
      </c>
      <c r="E6" s="120">
        <v>53868.487000000001</v>
      </c>
      <c r="F6" s="120">
        <v>0</v>
      </c>
      <c r="G6" s="180">
        <v>451.30099999999999</v>
      </c>
      <c r="H6" s="120">
        <v>-18306.650000000001</v>
      </c>
    </row>
    <row r="7" spans="1:8" x14ac:dyDescent="0.3">
      <c r="A7" s="93" t="s">
        <v>240</v>
      </c>
      <c r="B7" s="178">
        <v>0.54</v>
      </c>
      <c r="C7" s="120">
        <v>10757.235000000001</v>
      </c>
      <c r="D7" s="120">
        <v>25268.326000000001</v>
      </c>
      <c r="E7" s="120">
        <v>36025.56</v>
      </c>
      <c r="F7" s="120">
        <v>1858.8979999999999</v>
      </c>
      <c r="G7" s="180" t="s">
        <v>431</v>
      </c>
      <c r="H7" s="120">
        <v>-13.795</v>
      </c>
    </row>
    <row r="8" spans="1:8" x14ac:dyDescent="0.3">
      <c r="A8" s="93" t="s">
        <v>242</v>
      </c>
      <c r="B8" s="178">
        <v>0.91</v>
      </c>
      <c r="C8" s="120">
        <v>9280.1990000000005</v>
      </c>
      <c r="D8" s="120">
        <v>15096.406999999999</v>
      </c>
      <c r="E8" s="120">
        <v>24376.606</v>
      </c>
      <c r="F8" s="120">
        <v>1316</v>
      </c>
      <c r="G8" s="180"/>
      <c r="H8" s="120">
        <v>348.77499999999998</v>
      </c>
    </row>
    <row r="9" spans="1:8" x14ac:dyDescent="0.3">
      <c r="A9" s="93" t="s">
        <v>231</v>
      </c>
      <c r="B9" s="178">
        <v>1</v>
      </c>
      <c r="C9" s="120">
        <v>299.54500000000002</v>
      </c>
      <c r="D9" s="120">
        <v>329.029</v>
      </c>
      <c r="E9" s="120">
        <v>628.57399999999996</v>
      </c>
      <c r="F9" s="120">
        <v>1927.836</v>
      </c>
      <c r="G9" s="120" t="s">
        <v>431</v>
      </c>
      <c r="H9" s="120">
        <v>2.7269999999999999</v>
      </c>
    </row>
    <row r="10" spans="1:8" x14ac:dyDescent="0.3">
      <c r="A10" s="93" t="s">
        <v>454</v>
      </c>
      <c r="B10" s="178">
        <v>1</v>
      </c>
      <c r="C10" s="120">
        <v>20</v>
      </c>
      <c r="D10" s="120">
        <v>4881.1149999999998</v>
      </c>
      <c r="E10" s="120">
        <v>4901.1149999999998</v>
      </c>
      <c r="F10" s="120">
        <v>797.49300000000005</v>
      </c>
      <c r="G10" s="120" t="s">
        <v>431</v>
      </c>
      <c r="H10" s="120">
        <v>0</v>
      </c>
    </row>
    <row r="11" spans="1:8" x14ac:dyDescent="0.3">
      <c r="A11" s="93" t="s">
        <v>232</v>
      </c>
      <c r="B11" s="178">
        <v>1</v>
      </c>
      <c r="C11" s="120">
        <v>1621.9069999999999</v>
      </c>
      <c r="D11" s="120">
        <v>7684.2349999999997</v>
      </c>
      <c r="E11" s="120">
        <v>9306.1419999999998</v>
      </c>
      <c r="F11" s="120">
        <v>9148.5079999999998</v>
      </c>
      <c r="G11" s="120" t="s">
        <v>431</v>
      </c>
      <c r="H11" s="120">
        <v>-188.34299999999999</v>
      </c>
    </row>
    <row r="12" spans="1:8" x14ac:dyDescent="0.3">
      <c r="A12" s="93" t="s">
        <v>289</v>
      </c>
      <c r="B12" s="178">
        <v>0.94599999999999995</v>
      </c>
      <c r="C12" s="120">
        <v>6477.0079999999998</v>
      </c>
      <c r="D12" s="120">
        <v>8884.7279999999992</v>
      </c>
      <c r="E12" s="120">
        <v>15361.736000000001</v>
      </c>
      <c r="F12" s="120">
        <v>1049</v>
      </c>
      <c r="G12" s="120" t="s">
        <v>431</v>
      </c>
      <c r="H12" s="132">
        <v>530</v>
      </c>
    </row>
    <row r="13" spans="1:8" x14ac:dyDescent="0.3">
      <c r="A13" s="93" t="s">
        <v>455</v>
      </c>
      <c r="B13" s="178">
        <v>0.93</v>
      </c>
      <c r="C13" s="120">
        <v>293.36599999999999</v>
      </c>
      <c r="D13" s="120">
        <v>16237.022000000001</v>
      </c>
      <c r="E13" s="120">
        <v>16530.387999999999</v>
      </c>
      <c r="F13" s="120">
        <v>843.51900000000001</v>
      </c>
      <c r="G13" s="120" t="s">
        <v>431</v>
      </c>
      <c r="H13" s="120">
        <v>-587.351</v>
      </c>
    </row>
    <row r="14" spans="1:8" x14ac:dyDescent="0.3">
      <c r="A14" s="3" t="s">
        <v>80</v>
      </c>
      <c r="B14" s="135"/>
      <c r="C14" s="119">
        <f t="shared" ref="C14:H14" si="0">SUM(C4:C13)</f>
        <v>62007.935000000005</v>
      </c>
      <c r="D14" s="119">
        <f t="shared" si="0"/>
        <v>182456.36799999999</v>
      </c>
      <c r="E14" s="119">
        <f t="shared" si="0"/>
        <v>244464.30299999999</v>
      </c>
      <c r="F14" s="119">
        <f t="shared" si="0"/>
        <v>20379.309999999998</v>
      </c>
      <c r="G14" s="119">
        <f t="shared" si="0"/>
        <v>451.30099999999999</v>
      </c>
      <c r="H14" s="119">
        <f t="shared" si="0"/>
        <v>-18313.691999999999</v>
      </c>
    </row>
    <row r="15" spans="1:8" x14ac:dyDescent="0.3">
      <c r="A15" s="114"/>
      <c r="B15" s="114"/>
      <c r="C15" s="114"/>
      <c r="D15" s="114"/>
      <c r="E15" s="114"/>
      <c r="F15" s="114"/>
      <c r="G15" s="114"/>
      <c r="H15" s="114"/>
    </row>
    <row r="16" spans="1:8" x14ac:dyDescent="0.3">
      <c r="E16" s="38"/>
      <c r="F16" s="5"/>
    </row>
    <row r="17" spans="1:8" x14ac:dyDescent="0.3">
      <c r="E17" s="38"/>
      <c r="F17" s="5"/>
    </row>
    <row r="18" spans="1:8" x14ac:dyDescent="0.3">
      <c r="E18" s="38"/>
      <c r="F18" s="5"/>
    </row>
    <row r="19" spans="1:8" x14ac:dyDescent="0.3">
      <c r="E19" s="38"/>
      <c r="F19" s="5"/>
    </row>
    <row r="20" spans="1:8" x14ac:dyDescent="0.3">
      <c r="E20" s="38"/>
      <c r="F20" s="5"/>
    </row>
    <row r="21" spans="1:8" x14ac:dyDescent="0.3">
      <c r="E21" s="38"/>
      <c r="F21" s="5"/>
    </row>
    <row r="22" spans="1:8" x14ac:dyDescent="0.3">
      <c r="A22" s="88"/>
      <c r="E22" s="38"/>
      <c r="F22" s="5"/>
    </row>
    <row r="23" spans="1:8" x14ac:dyDescent="0.3">
      <c r="E23" s="38"/>
      <c r="F23" s="5"/>
    </row>
    <row r="24" spans="1:8" ht="0.75" customHeight="1" x14ac:dyDescent="0.3"/>
    <row r="25" spans="1:8" x14ac:dyDescent="0.3">
      <c r="E25" s="38"/>
      <c r="F25" s="5"/>
    </row>
    <row r="26" spans="1:8" x14ac:dyDescent="0.3">
      <c r="A26" s="9"/>
      <c r="B26" s="57"/>
      <c r="C26" s="16"/>
      <c r="D26" s="16"/>
      <c r="E26" s="16"/>
      <c r="F26" s="16"/>
      <c r="G26" s="16"/>
      <c r="H26" s="16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D8F34-51A0-4559-8970-9A0AF178AD85}">
  <sheetPr codeName="Sheet22"/>
  <dimension ref="A1:N36"/>
  <sheetViews>
    <sheetView topLeftCell="A2" workbookViewId="0">
      <selection activeCell="A2" sqref="A2:D34"/>
    </sheetView>
  </sheetViews>
  <sheetFormatPr defaultColWidth="8.81640625" defaultRowHeight="14.5" x14ac:dyDescent="0.35"/>
  <cols>
    <col min="1" max="1" width="45.54296875" style="82" customWidth="1"/>
    <col min="2" max="3" width="10.81640625" style="82" customWidth="1"/>
    <col min="4" max="16384" width="8.81640625" style="82"/>
  </cols>
  <sheetData>
    <row r="1" spans="1:14" hidden="1" x14ac:dyDescent="0.35">
      <c r="A1" s="4"/>
      <c r="B1" s="4"/>
      <c r="C1" s="4"/>
    </row>
    <row r="2" spans="1:14" s="83" customFormat="1" ht="24.5" x14ac:dyDescent="0.35">
      <c r="A2" s="90" t="s">
        <v>39</v>
      </c>
      <c r="B2" s="91" t="s">
        <v>451</v>
      </c>
      <c r="C2" s="91" t="s">
        <v>456</v>
      </c>
      <c r="D2" s="91" t="s">
        <v>254</v>
      </c>
      <c r="N2" s="51"/>
    </row>
    <row r="3" spans="1:14" ht="3" customHeight="1" x14ac:dyDescent="0.35">
      <c r="A3" s="92"/>
      <c r="B3" s="92"/>
      <c r="C3" s="92"/>
      <c r="D3" s="1"/>
      <c r="H3" s="50"/>
      <c r="I3" s="50"/>
      <c r="J3" s="50"/>
      <c r="K3" s="50"/>
      <c r="L3" s="50"/>
      <c r="M3" s="50"/>
      <c r="N3" s="50"/>
    </row>
    <row r="4" spans="1:14" ht="15" customHeight="1" x14ac:dyDescent="0.35">
      <c r="A4" s="124" t="s">
        <v>255</v>
      </c>
      <c r="B4" s="1"/>
      <c r="C4" s="1"/>
      <c r="D4" s="94"/>
      <c r="K4" s="50"/>
      <c r="L4" s="50"/>
      <c r="M4" s="50"/>
      <c r="N4" s="50"/>
    </row>
    <row r="5" spans="1:14" x14ac:dyDescent="0.35">
      <c r="A5" s="93" t="s">
        <v>256</v>
      </c>
      <c r="B5" s="120">
        <v>20501.504000000001</v>
      </c>
      <c r="C5" s="120">
        <v>21291.569</v>
      </c>
      <c r="D5" s="120">
        <f t="shared" ref="D5:D13" si="0">+C5-B5</f>
        <v>790.06499999999869</v>
      </c>
      <c r="H5" s="15"/>
      <c r="I5" s="15"/>
      <c r="J5" s="50"/>
      <c r="K5" s="50"/>
      <c r="L5" s="50"/>
      <c r="M5" s="50"/>
      <c r="N5" s="50"/>
    </row>
    <row r="6" spans="1:14" x14ac:dyDescent="0.35">
      <c r="A6" s="93" t="s">
        <v>257</v>
      </c>
      <c r="B6" s="120">
        <v>36481.336000000003</v>
      </c>
      <c r="C6" s="120">
        <v>47229.968000000001</v>
      </c>
      <c r="D6" s="120">
        <f t="shared" si="0"/>
        <v>10748.631999999998</v>
      </c>
      <c r="H6" s="15"/>
      <c r="I6" s="15"/>
      <c r="J6" s="50"/>
      <c r="K6" s="50"/>
      <c r="L6" s="50"/>
      <c r="M6" s="50"/>
      <c r="N6" s="50"/>
    </row>
    <row r="7" spans="1:14" x14ac:dyDescent="0.35">
      <c r="A7" s="93" t="s">
        <v>284</v>
      </c>
      <c r="B7" s="120">
        <v>-9078.2810000000009</v>
      </c>
      <c r="C7" s="120">
        <v>-8449.7999999999993</v>
      </c>
      <c r="D7" s="120">
        <f t="shared" si="0"/>
        <v>628.48100000000159</v>
      </c>
      <c r="H7" s="15"/>
      <c r="I7" s="15"/>
      <c r="J7" s="50"/>
      <c r="K7" s="50"/>
      <c r="L7" s="50"/>
      <c r="M7" s="50"/>
      <c r="N7" s="50"/>
    </row>
    <row r="8" spans="1:14" x14ac:dyDescent="0.35">
      <c r="A8" s="93" t="s">
        <v>31</v>
      </c>
      <c r="B8" s="120">
        <v>1131.864</v>
      </c>
      <c r="C8" s="120">
        <v>1168.373</v>
      </c>
      <c r="D8" s="120">
        <f t="shared" si="0"/>
        <v>36.509000000000015</v>
      </c>
      <c r="H8" s="15"/>
      <c r="I8" s="15"/>
      <c r="J8" s="50"/>
      <c r="K8" s="50"/>
      <c r="L8" s="50"/>
      <c r="M8" s="50"/>
      <c r="N8" s="50"/>
    </row>
    <row r="9" spans="1:14" x14ac:dyDescent="0.35">
      <c r="A9" s="3" t="s">
        <v>261</v>
      </c>
      <c r="B9" s="119">
        <f>+B5-B6+B7-B8</f>
        <v>-26189.977000000006</v>
      </c>
      <c r="C9" s="119">
        <f>+C5-C6+C7-C8</f>
        <v>-35556.572</v>
      </c>
      <c r="D9" s="119">
        <f t="shared" si="0"/>
        <v>-9366.5949999999939</v>
      </c>
      <c r="H9" s="15"/>
      <c r="I9" s="15"/>
      <c r="J9" s="50"/>
      <c r="K9" s="50"/>
      <c r="L9" s="50"/>
      <c r="M9" s="50"/>
      <c r="N9" s="50"/>
    </row>
    <row r="10" spans="1:14" x14ac:dyDescent="0.35">
      <c r="A10" s="93" t="s">
        <v>262</v>
      </c>
      <c r="B10" s="120">
        <v>26266.567999999999</v>
      </c>
      <c r="C10" s="120">
        <v>31108.644</v>
      </c>
      <c r="D10" s="120">
        <f t="shared" si="0"/>
        <v>4842.0760000000009</v>
      </c>
      <c r="H10" s="50"/>
      <c r="I10" s="50"/>
      <c r="J10" s="50"/>
      <c r="K10" s="50"/>
      <c r="L10" s="50"/>
      <c r="M10" s="50"/>
      <c r="N10" s="50"/>
    </row>
    <row r="11" spans="1:14" x14ac:dyDescent="0.35">
      <c r="A11" s="93" t="s">
        <v>263</v>
      </c>
      <c r="B11" s="120">
        <v>3440.0189999999998</v>
      </c>
      <c r="C11" s="120">
        <v>3550.5520000000001</v>
      </c>
      <c r="D11" s="120">
        <f t="shared" si="0"/>
        <v>110.53300000000036</v>
      </c>
      <c r="H11" s="50"/>
      <c r="I11" s="50"/>
      <c r="J11" s="50"/>
      <c r="K11" s="50"/>
      <c r="L11" s="50"/>
      <c r="M11" s="50"/>
      <c r="N11" s="50"/>
    </row>
    <row r="12" spans="1:14" x14ac:dyDescent="0.35">
      <c r="A12" s="93" t="s">
        <v>290</v>
      </c>
      <c r="B12" s="120">
        <v>0</v>
      </c>
      <c r="C12" s="120">
        <v>-10.8</v>
      </c>
      <c r="D12" s="120">
        <f t="shared" si="0"/>
        <v>-10.8</v>
      </c>
      <c r="H12" s="50"/>
      <c r="I12" s="50"/>
      <c r="J12" s="50"/>
      <c r="K12" s="50"/>
      <c r="L12" s="50"/>
      <c r="M12" s="50"/>
      <c r="N12" s="50"/>
    </row>
    <row r="13" spans="1:14" x14ac:dyDescent="0.35">
      <c r="A13" s="3" t="s">
        <v>264</v>
      </c>
      <c r="B13" s="119">
        <f>+B9+B10+B11+B12</f>
        <v>3516.6099999999929</v>
      </c>
      <c r="C13" s="119">
        <f>+C9+C10+C11+C12</f>
        <v>-908.1759999999997</v>
      </c>
      <c r="D13" s="119">
        <f t="shared" si="0"/>
        <v>-4424.7859999999928</v>
      </c>
      <c r="H13" s="50"/>
      <c r="I13" s="50"/>
      <c r="J13" s="50"/>
      <c r="K13" s="50"/>
      <c r="L13" s="50"/>
      <c r="M13" s="50"/>
      <c r="N13" s="50"/>
    </row>
    <row r="14" spans="1:14" x14ac:dyDescent="0.35">
      <c r="A14" s="124" t="s">
        <v>265</v>
      </c>
      <c r="B14" s="120"/>
      <c r="C14" s="120"/>
      <c r="D14" s="120"/>
      <c r="K14" s="50"/>
      <c r="L14" s="50"/>
      <c r="M14" s="50"/>
      <c r="N14" s="50"/>
    </row>
    <row r="15" spans="1:14" x14ac:dyDescent="0.35">
      <c r="A15" s="93" t="s">
        <v>264</v>
      </c>
      <c r="B15" s="120">
        <f>+B13</f>
        <v>3516.6099999999929</v>
      </c>
      <c r="C15" s="120">
        <f>+C13</f>
        <v>-908.1759999999997</v>
      </c>
      <c r="D15" s="120">
        <f t="shared" ref="D15:D33" si="1">+C15-B15</f>
        <v>-4424.7859999999928</v>
      </c>
      <c r="G15" s="50"/>
      <c r="H15" s="50"/>
      <c r="I15" s="50"/>
    </row>
    <row r="16" spans="1:14" x14ac:dyDescent="0.35">
      <c r="A16" s="93" t="s">
        <v>266</v>
      </c>
      <c r="B16" s="120">
        <v>3477.6759999999999</v>
      </c>
      <c r="C16" s="120">
        <v>2665.7350000000001</v>
      </c>
      <c r="D16" s="120">
        <f t="shared" si="1"/>
        <v>-811.9409999999998</v>
      </c>
      <c r="G16" s="50"/>
      <c r="H16" s="50"/>
      <c r="I16" s="50"/>
    </row>
    <row r="17" spans="1:10" x14ac:dyDescent="0.35">
      <c r="A17" s="93" t="s">
        <v>267</v>
      </c>
      <c r="B17" s="120">
        <v>-2517.2860000000001</v>
      </c>
      <c r="C17" s="120">
        <v>-312.40100000000001</v>
      </c>
      <c r="D17" s="120">
        <f t="shared" si="1"/>
        <v>2204.8850000000002</v>
      </c>
      <c r="G17" s="50"/>
      <c r="H17" s="50"/>
      <c r="I17" s="50"/>
    </row>
    <row r="18" spans="1:10" x14ac:dyDescent="0.35">
      <c r="A18" s="3" t="s">
        <v>83</v>
      </c>
      <c r="B18" s="119">
        <f>+B15+B16+B17</f>
        <v>4476.9999999999927</v>
      </c>
      <c r="C18" s="119">
        <f>+C15+C16+C17</f>
        <v>1445.1580000000004</v>
      </c>
      <c r="D18" s="119">
        <f t="shared" si="1"/>
        <v>-3031.8419999999924</v>
      </c>
    </row>
    <row r="19" spans="1:10" x14ac:dyDescent="0.35">
      <c r="A19" s="93" t="s">
        <v>85</v>
      </c>
      <c r="B19" s="120">
        <v>100</v>
      </c>
      <c r="C19" s="120">
        <v>0</v>
      </c>
      <c r="D19" s="120">
        <f t="shared" si="1"/>
        <v>-100</v>
      </c>
      <c r="G19" s="50"/>
      <c r="H19" s="50"/>
      <c r="I19" s="50"/>
      <c r="J19" s="50"/>
    </row>
    <row r="20" spans="1:10" x14ac:dyDescent="0.35">
      <c r="A20" s="93" t="s">
        <v>268</v>
      </c>
      <c r="B20" s="120">
        <v>145.227</v>
      </c>
      <c r="C20" s="120">
        <v>-58.823999999999998</v>
      </c>
      <c r="D20" s="120">
        <f t="shared" si="1"/>
        <v>-204.05099999999999</v>
      </c>
      <c r="G20" s="50"/>
      <c r="H20" s="50"/>
      <c r="I20" s="50"/>
    </row>
    <row r="21" spans="1:10" x14ac:dyDescent="0.35">
      <c r="A21" s="93" t="s">
        <v>269</v>
      </c>
      <c r="B21" s="120">
        <v>-2771.5</v>
      </c>
      <c r="C21" s="120">
        <v>-2781</v>
      </c>
      <c r="D21" s="120">
        <f t="shared" si="1"/>
        <v>-9.5</v>
      </c>
      <c r="G21" s="50"/>
      <c r="H21" s="50"/>
      <c r="I21" s="50"/>
    </row>
    <row r="22" spans="1:10" x14ac:dyDescent="0.35">
      <c r="A22" s="93" t="s">
        <v>270</v>
      </c>
      <c r="B22" s="120">
        <v>-14368.928</v>
      </c>
      <c r="C22" s="120">
        <v>-3881.884</v>
      </c>
      <c r="D22" s="120">
        <f t="shared" si="1"/>
        <v>10487.044</v>
      </c>
      <c r="G22" s="50"/>
      <c r="H22" s="50"/>
      <c r="I22" s="50"/>
    </row>
    <row r="23" spans="1:10" x14ac:dyDescent="0.35">
      <c r="A23" s="93" t="s">
        <v>414</v>
      </c>
      <c r="B23" s="120">
        <v>-7424.5</v>
      </c>
      <c r="C23" s="120">
        <v>-12260</v>
      </c>
      <c r="D23" s="120">
        <f t="shared" si="1"/>
        <v>-4835.5</v>
      </c>
      <c r="G23" s="50"/>
      <c r="H23" s="50"/>
      <c r="I23" s="50"/>
    </row>
    <row r="24" spans="1:10" x14ac:dyDescent="0.35">
      <c r="A24" s="3" t="s">
        <v>271</v>
      </c>
      <c r="B24" s="119">
        <f>-B19+B20+B21+B22+B23</f>
        <v>-24519.701000000001</v>
      </c>
      <c r="C24" s="119">
        <f>-C19+C20+C21+C22+C23</f>
        <v>-18981.707999999999</v>
      </c>
      <c r="D24" s="119">
        <f t="shared" si="1"/>
        <v>5537.9930000000022</v>
      </c>
      <c r="G24" s="50"/>
      <c r="H24" s="50"/>
      <c r="I24" s="50"/>
    </row>
    <row r="25" spans="1:10" x14ac:dyDescent="0.35">
      <c r="A25" s="93" t="s">
        <v>272</v>
      </c>
      <c r="B25" s="120">
        <v>18504.044000000002</v>
      </c>
      <c r="C25" s="120">
        <v>6436.2809999999999</v>
      </c>
      <c r="D25" s="120">
        <f t="shared" si="1"/>
        <v>-12067.763000000003</v>
      </c>
    </row>
    <row r="26" spans="1:10" x14ac:dyDescent="0.35">
      <c r="A26" s="93" t="s">
        <v>273</v>
      </c>
      <c r="B26" s="120">
        <v>1441.7249999999999</v>
      </c>
      <c r="C26" s="120">
        <v>1114.0830000000001</v>
      </c>
      <c r="D26" s="120">
        <f t="shared" si="1"/>
        <v>-327.64199999999983</v>
      </c>
    </row>
    <row r="27" spans="1:10" x14ac:dyDescent="0.35">
      <c r="A27" s="93" t="s">
        <v>274</v>
      </c>
      <c r="B27" s="120">
        <v>0</v>
      </c>
      <c r="C27" s="120">
        <v>0</v>
      </c>
      <c r="D27" s="120">
        <f t="shared" si="1"/>
        <v>0</v>
      </c>
    </row>
    <row r="28" spans="1:10" x14ac:dyDescent="0.35">
      <c r="A28" s="93" t="s">
        <v>275</v>
      </c>
      <c r="B28" s="120">
        <v>0</v>
      </c>
      <c r="C28" s="120">
        <v>0</v>
      </c>
      <c r="D28" s="120">
        <f t="shared" si="1"/>
        <v>0</v>
      </c>
    </row>
    <row r="29" spans="1:10" x14ac:dyDescent="0.35">
      <c r="A29" s="93" t="s">
        <v>414</v>
      </c>
      <c r="B29" s="120">
        <v>8827.9220000000005</v>
      </c>
      <c r="C29" s="120">
        <v>9048.6200000000008</v>
      </c>
      <c r="D29" s="120">
        <f t="shared" si="1"/>
        <v>220.69800000000032</v>
      </c>
    </row>
    <row r="30" spans="1:10" x14ac:dyDescent="0.35">
      <c r="A30" s="3" t="s">
        <v>93</v>
      </c>
      <c r="B30" s="119">
        <f>+B25-B26+B27-B28+B29</f>
        <v>25890.241000000002</v>
      </c>
      <c r="C30" s="119">
        <f>+C25-C26+C27-C28+C29</f>
        <v>14370.818000000001</v>
      </c>
      <c r="D30" s="119">
        <f t="shared" si="1"/>
        <v>-11519.423000000001</v>
      </c>
    </row>
    <row r="31" spans="1:10" x14ac:dyDescent="0.35">
      <c r="A31" s="3" t="s">
        <v>94</v>
      </c>
      <c r="B31" s="119">
        <f>+B18+B24+B30</f>
        <v>5847.5399999999936</v>
      </c>
      <c r="C31" s="119">
        <f>+C18+C24+C30</f>
        <v>-3165.7319999999982</v>
      </c>
      <c r="D31" s="119">
        <f t="shared" si="1"/>
        <v>-9013.2719999999917</v>
      </c>
    </row>
    <row r="32" spans="1:10" x14ac:dyDescent="0.35">
      <c r="A32" s="93" t="s">
        <v>276</v>
      </c>
      <c r="B32" s="120">
        <v>7885.2929999999997</v>
      </c>
      <c r="C32" s="120">
        <f>+B33</f>
        <v>13732.832999999993</v>
      </c>
      <c r="D32" s="120">
        <f t="shared" si="1"/>
        <v>5847.5399999999936</v>
      </c>
    </row>
    <row r="33" spans="1:4" ht="15" customHeight="1" x14ac:dyDescent="0.35">
      <c r="A33" s="93" t="s">
        <v>277</v>
      </c>
      <c r="B33" s="120">
        <f>+B31+B32</f>
        <v>13732.832999999993</v>
      </c>
      <c r="C33" s="120">
        <f>+C31+C32</f>
        <v>10567.100999999995</v>
      </c>
      <c r="D33" s="120">
        <f t="shared" si="1"/>
        <v>-3165.7319999999982</v>
      </c>
    </row>
    <row r="34" spans="1:4" x14ac:dyDescent="0.35">
      <c r="A34" s="101"/>
      <c r="B34" s="127"/>
      <c r="C34" s="127"/>
      <c r="D34" s="127"/>
    </row>
    <row r="35" spans="1:4" ht="1.5" customHeight="1" x14ac:dyDescent="0.35">
      <c r="A35" s="101"/>
      <c r="B35" s="127"/>
      <c r="C35" s="127"/>
      <c r="D35" s="127"/>
    </row>
    <row r="36" spans="1:4" x14ac:dyDescent="0.35">
      <c r="C36" s="84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2999C-9269-47DF-BF1A-9841E2ED3117}">
  <sheetPr codeName="Sheet23"/>
  <dimension ref="A1:F15"/>
  <sheetViews>
    <sheetView workbookViewId="0">
      <selection sqref="A1:F15"/>
    </sheetView>
  </sheetViews>
  <sheetFormatPr defaultColWidth="9" defaultRowHeight="12" x14ac:dyDescent="0.3"/>
  <cols>
    <col min="1" max="1" width="25.81640625" style="4" customWidth="1"/>
    <col min="2" max="6" width="9.81640625" style="5" customWidth="1"/>
    <col min="7" max="16384" width="9" style="4"/>
  </cols>
  <sheetData>
    <row r="1" spans="1:6" ht="26.25" customHeight="1" x14ac:dyDescent="0.3">
      <c r="A1" s="90" t="s">
        <v>278</v>
      </c>
      <c r="B1" s="91" t="s">
        <v>279</v>
      </c>
      <c r="C1" s="91" t="s">
        <v>280</v>
      </c>
      <c r="D1" s="91" t="s">
        <v>281</v>
      </c>
      <c r="E1" s="91" t="s">
        <v>282</v>
      </c>
      <c r="F1" s="91" t="s">
        <v>283</v>
      </c>
    </row>
    <row r="2" spans="1:6" x14ac:dyDescent="0.3">
      <c r="A2" s="92"/>
      <c r="B2" s="113"/>
      <c r="C2" s="113"/>
      <c r="D2" s="113"/>
      <c r="E2" s="113"/>
      <c r="F2" s="113"/>
    </row>
    <row r="3" spans="1:6" x14ac:dyDescent="0.3">
      <c r="A3" s="93" t="s">
        <v>4</v>
      </c>
      <c r="B3" s="128">
        <f>+'[3]Uppsett Allir'!CC5</f>
        <v>1539337.0389420856</v>
      </c>
      <c r="C3" s="128">
        <f>+'[3]Uppsett Allir'!CD5</f>
        <v>30385.918850000002</v>
      </c>
      <c r="D3" s="128">
        <f>+'[3]Uppsett Allir'!CE5</f>
        <v>55939.965000000004</v>
      </c>
      <c r="E3" s="128">
        <f>+'[3]Uppsett Allir'!CF5</f>
        <v>-42565.602059671117</v>
      </c>
      <c r="F3" s="128">
        <f>+'[3]Uppsett Allir'!CG5</f>
        <v>1583097.3207324145</v>
      </c>
    </row>
    <row r="4" spans="1:6" x14ac:dyDescent="0.3">
      <c r="A4" s="93" t="s">
        <v>5</v>
      </c>
      <c r="B4" s="128">
        <f>+'[3]Uppsett Allir'!CC6</f>
        <v>1462323.4943999997</v>
      </c>
      <c r="C4" s="128">
        <f>+'[3]Uppsett Allir'!CD6</f>
        <v>29740.986280000001</v>
      </c>
      <c r="D4" s="128">
        <f>+'[3]Uppsett Allir'!CE6</f>
        <v>50010.968000000001</v>
      </c>
      <c r="E4" s="128">
        <f>+'[3]Uppsett Allir'!CF6</f>
        <v>-42565.602059671117</v>
      </c>
      <c r="F4" s="128">
        <f>+'[3]Uppsett Allir'!CG6</f>
        <v>1499509.8466203287</v>
      </c>
    </row>
    <row r="5" spans="1:6" x14ac:dyDescent="0.3">
      <c r="A5" s="3" t="s">
        <v>6</v>
      </c>
      <c r="B5" s="129">
        <f>+'[3]Uppsett Allir'!CC7</f>
        <v>77013.544542085845</v>
      </c>
      <c r="C5" s="129">
        <f>+'[3]Uppsett Allir'!CD7</f>
        <v>644.93257000000085</v>
      </c>
      <c r="D5" s="129">
        <f>+'[3]Uppsett Allir'!CE7</f>
        <v>5928.997000000003</v>
      </c>
      <c r="E5" s="129">
        <f>+'[3]Uppsett Allir'!CF7</f>
        <v>0</v>
      </c>
      <c r="F5" s="129">
        <f>+'[3]Uppsett Allir'!CG7</f>
        <v>83587.474112085765</v>
      </c>
    </row>
    <row r="6" spans="1:6" x14ac:dyDescent="0.3">
      <c r="A6" s="104" t="s">
        <v>1</v>
      </c>
      <c r="B6" s="130">
        <f>+'[3]Uppsett Allir'!CC8</f>
        <v>1.4717818182842242E-2</v>
      </c>
      <c r="C6" s="130">
        <f>+'[3]Uppsett Allir'!CD8</f>
        <v>1.2325105099228443E-4</v>
      </c>
      <c r="D6" s="130">
        <f>+'[3]Uppsett Allir'!CE8</f>
        <v>1.1330721157098652E-3</v>
      </c>
      <c r="E6" s="130">
        <f>+'[3]Uppsett Allir'!CF8</f>
        <v>0</v>
      </c>
      <c r="F6" s="130">
        <f>+'[3]Uppsett Allir'!CG8</f>
        <v>1.5974141349544377E-2</v>
      </c>
    </row>
    <row r="7" spans="1:6" x14ac:dyDescent="0.3">
      <c r="A7" s="93" t="s">
        <v>7</v>
      </c>
      <c r="B7" s="128">
        <f>+'[3]Uppsett Allir'!CC9</f>
        <v>51909.185613928377</v>
      </c>
      <c r="C7" s="128">
        <f>+'[3]Uppsett Allir'!CD9</f>
        <v>28078.623</v>
      </c>
      <c r="D7" s="128">
        <f>+'[3]Uppsett Allir'!CE9</f>
        <v>844.98</v>
      </c>
      <c r="E7" s="128">
        <f>+'[3]Uppsett Allir'!CF9</f>
        <v>-21655.605862473643</v>
      </c>
      <c r="F7" s="128">
        <f>+'[3]Uppsett Allir'!CG9</f>
        <v>59177.182751454733</v>
      </c>
    </row>
    <row r="8" spans="1:6" x14ac:dyDescent="0.3">
      <c r="A8" s="93" t="s">
        <v>8</v>
      </c>
      <c r="B8" s="128">
        <f>+'[3]Uppsett Allir'!CC10</f>
        <v>144259.36636747679</v>
      </c>
      <c r="C8" s="128">
        <f>+'[3]Uppsett Allir'!CD10</f>
        <v>28151.171340000001</v>
      </c>
      <c r="D8" s="128">
        <f>+'[3]Uppsett Allir'!CE10</f>
        <v>9294.7800000000007</v>
      </c>
      <c r="E8" s="128">
        <f>+'[3]Uppsett Allir'!CF10</f>
        <v>-21655.605862473643</v>
      </c>
      <c r="F8" s="128">
        <f>+'[3]Uppsett Allir'!CG10</f>
        <v>160049.71184500316</v>
      </c>
    </row>
    <row r="9" spans="1:6" x14ac:dyDescent="0.3">
      <c r="A9" s="3" t="s">
        <v>284</v>
      </c>
      <c r="B9" s="129">
        <f>+'[3]Uppsett Allir'!CC11</f>
        <v>-92350.180753548411</v>
      </c>
      <c r="C9" s="129">
        <f>+'[3]Uppsett Allir'!CD11</f>
        <v>-72.54834000000119</v>
      </c>
      <c r="D9" s="129">
        <f>+'[3]Uppsett Allir'!CE11</f>
        <v>-8449.8000000000011</v>
      </c>
      <c r="E9" s="129">
        <f>+'[3]Uppsett Allir'!CF11</f>
        <v>0</v>
      </c>
      <c r="F9" s="129">
        <f>+'[3]Uppsett Allir'!CG11</f>
        <v>-100872.52909354842</v>
      </c>
    </row>
    <row r="10" spans="1:6" x14ac:dyDescent="0.3">
      <c r="A10" s="104" t="s">
        <v>1</v>
      </c>
      <c r="B10" s="130">
        <f>+'[3]Uppsett Allir'!CC12</f>
        <v>-1.7648754872470255E-2</v>
      </c>
      <c r="C10" s="130">
        <f>+'[3]Uppsett Allir'!CD12</f>
        <v>-1.3864486876117486E-5</v>
      </c>
      <c r="D10" s="130">
        <f>+'[3]Uppsett Allir'!CE12</f>
        <v>-1.6148149110760581E-3</v>
      </c>
      <c r="E10" s="130">
        <f>+'[3]Uppsett Allir'!CF12</f>
        <v>0</v>
      </c>
      <c r="F10" s="130">
        <f>+'[3]Uppsett Allir'!CG12</f>
        <v>-1.9277434270422431E-2</v>
      </c>
    </row>
    <row r="11" spans="1:6" x14ac:dyDescent="0.3">
      <c r="A11" s="93" t="s">
        <v>10</v>
      </c>
      <c r="B11" s="128">
        <f>+'[3]Uppsett Allir'!CC13</f>
        <v>1591246.2245560139</v>
      </c>
      <c r="C11" s="128">
        <f>+'[3]Uppsett Allir'!CD13</f>
        <v>58464.541850000001</v>
      </c>
      <c r="D11" s="128">
        <f>+'[3]Uppsett Allir'!CE13</f>
        <v>56784.945000000007</v>
      </c>
      <c r="E11" s="128">
        <f>+'[3]Uppsett Allir'!CF13</f>
        <v>-64221.207922144764</v>
      </c>
      <c r="F11" s="128">
        <f>+'[3]Uppsett Allir'!CG13</f>
        <v>1642274.5034838691</v>
      </c>
    </row>
    <row r="12" spans="1:6" x14ac:dyDescent="0.3">
      <c r="A12" s="93" t="s">
        <v>285</v>
      </c>
      <c r="B12" s="128">
        <f>+'[3]Uppsett Allir'!CC14</f>
        <v>1606582.8607674765</v>
      </c>
      <c r="C12" s="128">
        <f>+'[3]Uppsett Allir'!CD14</f>
        <v>57892.157619999998</v>
      </c>
      <c r="D12" s="128">
        <f>+'[3]Uppsett Allir'!CE14</f>
        <v>59305.748</v>
      </c>
      <c r="E12" s="128">
        <f>+'[3]Uppsett Allir'!CF14</f>
        <v>-64221.207922144757</v>
      </c>
      <c r="F12" s="128">
        <f>+'[3]Uppsett Allir'!CG14</f>
        <v>1659559.5584653316</v>
      </c>
    </row>
    <row r="13" spans="1:6" x14ac:dyDescent="0.3">
      <c r="A13" s="3" t="s">
        <v>12</v>
      </c>
      <c r="B13" s="129">
        <f>+'[3]Uppsett Allir'!CC15</f>
        <v>-15336.636211462552</v>
      </c>
      <c r="C13" s="129">
        <f>+'[3]Uppsett Allir'!CD15</f>
        <v>572.3842300000033</v>
      </c>
      <c r="D13" s="129">
        <f>+'[3]Uppsett Allir'!CE15</f>
        <v>-2520.8029999999926</v>
      </c>
      <c r="E13" s="129">
        <f>+'[3]Uppsett Allir'!CF15</f>
        <v>0</v>
      </c>
      <c r="F13" s="129">
        <f>+'[3]Uppsett Allir'!CG15</f>
        <v>-17285.054981462425</v>
      </c>
    </row>
    <row r="14" spans="1:6" x14ac:dyDescent="0.3">
      <c r="A14" s="104" t="s">
        <v>1</v>
      </c>
      <c r="B14" s="131">
        <f>+'[3]Uppsett Allir'!CC16</f>
        <v>-2.9309366896280091E-3</v>
      </c>
      <c r="C14" s="131">
        <f>+'[3]Uppsett Allir'!CD16</f>
        <v>1.0938656411616762E-4</v>
      </c>
      <c r="D14" s="131">
        <f>+'[3]Uppsett Allir'!CE16</f>
        <v>-4.8174279536619186E-4</v>
      </c>
      <c r="E14" s="131">
        <f>+'[3]Uppsett Allir'!CF16</f>
        <v>0</v>
      </c>
      <c r="F14" s="131">
        <f>+'[3]Uppsett Allir'!CG16</f>
        <v>-3.3032929208780108E-3</v>
      </c>
    </row>
    <row r="15" spans="1:6" ht="1.5" customHeight="1" x14ac:dyDescent="0.3">
      <c r="A15" s="101"/>
      <c r="B15" s="109"/>
      <c r="C15" s="109"/>
      <c r="D15" s="109"/>
      <c r="E15" s="109"/>
      <c r="F15" s="109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F63F2-F52E-4522-88EE-EAE32AC0CDB2}">
  <sheetPr codeName="Sheet24"/>
  <dimension ref="A1:F42"/>
  <sheetViews>
    <sheetView topLeftCell="B2" workbookViewId="0">
      <selection activeCell="M44" sqref="M44"/>
    </sheetView>
  </sheetViews>
  <sheetFormatPr defaultColWidth="8.81640625" defaultRowHeight="12" x14ac:dyDescent="0.3"/>
  <cols>
    <col min="1" max="1" width="8.81640625" style="5" hidden="1" customWidth="1"/>
    <col min="2" max="2" width="36.1796875" style="4" customWidth="1"/>
    <col min="3" max="6" width="8.54296875" style="4" customWidth="1"/>
    <col min="7" max="16384" width="8.81640625" style="4"/>
  </cols>
  <sheetData>
    <row r="1" spans="1:6" ht="10.5" hidden="1" customHeight="1" x14ac:dyDescent="0.3"/>
    <row r="2" spans="1:6" ht="24" x14ac:dyDescent="0.3">
      <c r="B2" s="99" t="s">
        <v>278</v>
      </c>
      <c r="C2" s="100" t="str">
        <f>+[4]Tafla!C3</f>
        <v>Reikn.
2023</v>
      </c>
      <c r="D2" s="100" t="str">
        <f>+[4]Tafla!D3</f>
        <v>Brb.
2024</v>
      </c>
      <c r="E2" s="100" t="str">
        <f>+[4]Tafla!E3</f>
        <v>Horfur
2025</v>
      </c>
      <c r="F2" s="100" t="str">
        <f>+[4]Tafla!F3</f>
        <v>Frumvarp
2026</v>
      </c>
    </row>
    <row r="3" spans="1:6" ht="1.5" customHeight="1" x14ac:dyDescent="0.3">
      <c r="B3" s="101"/>
      <c r="C3" s="101"/>
      <c r="D3" s="101"/>
      <c r="E3" s="101"/>
      <c r="F3" s="101"/>
    </row>
    <row r="4" spans="1:6" s="11" customFormat="1" x14ac:dyDescent="0.3">
      <c r="A4" s="12">
        <v>1</v>
      </c>
      <c r="B4" s="3" t="s">
        <v>10</v>
      </c>
      <c r="C4" s="119">
        <f>+[4]Tafla!C5</f>
        <v>1366080</v>
      </c>
      <c r="D4" s="119">
        <f>+[4]Tafla!D5</f>
        <v>1445210</v>
      </c>
      <c r="E4" s="119">
        <f>+[4]Tafla!E5</f>
        <v>1563928.6745155677</v>
      </c>
      <c r="F4" s="119">
        <f>+[4]Tafla!F5</f>
        <v>1642274.5034838691</v>
      </c>
    </row>
    <row r="5" spans="1:6" s="11" customFormat="1" x14ac:dyDescent="0.3">
      <c r="A5" s="12">
        <v>11</v>
      </c>
      <c r="B5" s="104" t="s">
        <v>13</v>
      </c>
      <c r="C5" s="119">
        <f>+[4]Tafla!C6</f>
        <v>998617</v>
      </c>
      <c r="D5" s="119">
        <f>+[4]Tafla!D6</f>
        <v>1091828</v>
      </c>
      <c r="E5" s="119">
        <f>+[4]Tafla!E6</f>
        <v>1167191.5000000002</v>
      </c>
      <c r="F5" s="119">
        <f>+[4]Tafla!F6</f>
        <v>1236608.8389420856</v>
      </c>
    </row>
    <row r="6" spans="1:6" x14ac:dyDescent="0.3">
      <c r="A6" s="5">
        <v>111</v>
      </c>
      <c r="B6" s="105" t="s">
        <v>14</v>
      </c>
      <c r="C6" s="120">
        <f>+[4]Tafla!C7</f>
        <v>463737</v>
      </c>
      <c r="D6" s="120">
        <f>+[4]Tafla!D7</f>
        <v>480720</v>
      </c>
      <c r="E6" s="120">
        <f>+[4]Tafla!E7</f>
        <v>525100</v>
      </c>
      <c r="F6" s="120">
        <f>+[4]Tafla!F7</f>
        <v>549500</v>
      </c>
    </row>
    <row r="7" spans="1:6" x14ac:dyDescent="0.3">
      <c r="A7" s="5">
        <v>112</v>
      </c>
      <c r="B7" s="105" t="s">
        <v>15</v>
      </c>
      <c r="C7" s="120">
        <f>+[4]Tafla!C8</f>
        <v>11563</v>
      </c>
      <c r="D7" s="120">
        <f>+[4]Tafla!D8</f>
        <v>11891</v>
      </c>
      <c r="E7" s="120">
        <f>+[4]Tafla!E8</f>
        <v>13030</v>
      </c>
      <c r="F7" s="120">
        <f>+[4]Tafla!F8</f>
        <v>13926</v>
      </c>
    </row>
    <row r="8" spans="1:6" x14ac:dyDescent="0.3">
      <c r="A8" s="5">
        <v>113</v>
      </c>
      <c r="B8" s="105" t="s">
        <v>16</v>
      </c>
      <c r="C8" s="120">
        <f>+[4]Tafla!C9</f>
        <v>13670</v>
      </c>
      <c r="D8" s="120">
        <f>+[4]Tafla!D9</f>
        <v>15195</v>
      </c>
      <c r="E8" s="120">
        <f>+[4]Tafla!E9</f>
        <v>15527</v>
      </c>
      <c r="F8" s="120">
        <f>+[4]Tafla!F9</f>
        <v>14327</v>
      </c>
    </row>
    <row r="9" spans="1:6" x14ac:dyDescent="0.3">
      <c r="A9" s="5">
        <v>114</v>
      </c>
      <c r="B9" s="105" t="s">
        <v>17</v>
      </c>
      <c r="C9" s="120">
        <f>+[4]Tafla!C10</f>
        <v>487688</v>
      </c>
      <c r="D9" s="120">
        <f>+[4]Tafla!D10</f>
        <v>560924</v>
      </c>
      <c r="E9" s="120">
        <f>+[4]Tafla!E10</f>
        <v>588214.60000000009</v>
      </c>
      <c r="F9" s="120">
        <f>+[4]Tafla!F10</f>
        <v>632186.63894208579</v>
      </c>
    </row>
    <row r="10" spans="1:6" x14ac:dyDescent="0.3">
      <c r="A10" s="5">
        <v>115</v>
      </c>
      <c r="B10" s="105" t="s">
        <v>18</v>
      </c>
      <c r="C10" s="120">
        <f>+[4]Tafla!C11</f>
        <v>6155</v>
      </c>
      <c r="D10" s="120">
        <f>+[4]Tafla!D11</f>
        <v>6664</v>
      </c>
      <c r="E10" s="120">
        <f>+[4]Tafla!E11</f>
        <v>7419.8</v>
      </c>
      <c r="F10" s="120">
        <f>+[4]Tafla!F11</f>
        <v>7170.4</v>
      </c>
    </row>
    <row r="11" spans="1:6" x14ac:dyDescent="0.3">
      <c r="A11" s="5">
        <v>116</v>
      </c>
      <c r="B11" s="105" t="s">
        <v>19</v>
      </c>
      <c r="C11" s="120">
        <f>+[4]Tafla!C12</f>
        <v>15804</v>
      </c>
      <c r="D11" s="120">
        <f>+[4]Tafla!D12</f>
        <v>16434</v>
      </c>
      <c r="E11" s="120">
        <f>+[4]Tafla!E12</f>
        <v>17900.099999999999</v>
      </c>
      <c r="F11" s="120">
        <f>+[4]Tafla!F12</f>
        <v>19498.8</v>
      </c>
    </row>
    <row r="12" spans="1:6" s="11" customFormat="1" x14ac:dyDescent="0.3">
      <c r="A12" s="12">
        <v>12</v>
      </c>
      <c r="B12" s="104" t="s">
        <v>20</v>
      </c>
      <c r="C12" s="119">
        <f>+[4]Tafla!C13</f>
        <v>131613</v>
      </c>
      <c r="D12" s="119">
        <f>+[4]Tafla!D13</f>
        <v>136982</v>
      </c>
      <c r="E12" s="119">
        <f>+[4]Tafla!E13</f>
        <v>151726</v>
      </c>
      <c r="F12" s="119">
        <f>+[4]Tafla!F13</f>
        <v>159923</v>
      </c>
    </row>
    <row r="13" spans="1:6" s="11" customFormat="1" x14ac:dyDescent="0.3">
      <c r="A13" s="12">
        <v>13</v>
      </c>
      <c r="B13" s="104" t="s">
        <v>21</v>
      </c>
      <c r="C13" s="119">
        <f>+[4]Tafla!C14</f>
        <v>8146</v>
      </c>
      <c r="D13" s="119">
        <f>+[4]Tafla!D14</f>
        <v>10383</v>
      </c>
      <c r="E13" s="119">
        <f>+[4]Tafla!E14</f>
        <v>7679.2000000000007</v>
      </c>
      <c r="F13" s="119">
        <f>+[4]Tafla!F14</f>
        <v>8085</v>
      </c>
    </row>
    <row r="14" spans="1:6" s="11" customFormat="1" x14ac:dyDescent="0.3">
      <c r="A14" s="12">
        <v>14</v>
      </c>
      <c r="B14" s="105" t="s">
        <v>316</v>
      </c>
      <c r="C14" s="120">
        <f>+[4]Tafla!C15</f>
        <v>626</v>
      </c>
      <c r="D14" s="120">
        <f>+[4]Tafla!D15</f>
        <v>1841</v>
      </c>
      <c r="E14" s="120">
        <f>+[4]Tafla!E15</f>
        <v>4219</v>
      </c>
      <c r="F14" s="120">
        <f>+[4]Tafla!F15</f>
        <v>4429.1000000000004</v>
      </c>
    </row>
    <row r="15" spans="1:6" x14ac:dyDescent="0.3">
      <c r="A15" s="5">
        <v>141</v>
      </c>
      <c r="B15" s="105" t="s">
        <v>317</v>
      </c>
      <c r="C15" s="120">
        <f>+[4]Tafla!C16</f>
        <v>4822</v>
      </c>
      <c r="D15" s="120">
        <f>+[4]Tafla!D16</f>
        <v>5582</v>
      </c>
      <c r="E15" s="120">
        <f>+[4]Tafla!E16</f>
        <v>0</v>
      </c>
      <c r="F15" s="120">
        <f>+[4]Tafla!F16</f>
        <v>0</v>
      </c>
    </row>
    <row r="16" spans="1:6" x14ac:dyDescent="0.3">
      <c r="A16" s="5">
        <v>142</v>
      </c>
      <c r="B16" s="105" t="s">
        <v>318</v>
      </c>
      <c r="C16" s="120">
        <f>+[4]Tafla!C17</f>
        <v>2698</v>
      </c>
      <c r="D16" s="120">
        <f>+[4]Tafla!D17</f>
        <v>2960</v>
      </c>
      <c r="E16" s="120">
        <f>+[4]Tafla!E17</f>
        <v>3460.2000000000003</v>
      </c>
      <c r="F16" s="120">
        <f>+[4]Tafla!F17</f>
        <v>3655.9</v>
      </c>
    </row>
    <row r="17" spans="1:6" x14ac:dyDescent="0.3">
      <c r="A17" s="5">
        <v>143</v>
      </c>
      <c r="B17" s="104" t="s">
        <v>22</v>
      </c>
      <c r="C17" s="119">
        <f>+[4]Tafla!C18</f>
        <v>227704</v>
      </c>
      <c r="D17" s="119">
        <f>+[4]Tafla!D18</f>
        <v>206017</v>
      </c>
      <c r="E17" s="119">
        <f>+[4]Tafla!E18</f>
        <v>237331.97451556762</v>
      </c>
      <c r="F17" s="119">
        <f>+[4]Tafla!F18</f>
        <v>237657.66454178363</v>
      </c>
    </row>
    <row r="18" spans="1:6" x14ac:dyDescent="0.3">
      <c r="A18" s="5">
        <v>144</v>
      </c>
      <c r="B18" s="105" t="s">
        <v>23</v>
      </c>
      <c r="C18" s="120">
        <f>+[4]Tafla!C19</f>
        <v>151392</v>
      </c>
      <c r="D18" s="120">
        <f>+[4]Tafla!D19</f>
        <v>128552</v>
      </c>
      <c r="E18" s="120">
        <f>+[4]Tafla!E19</f>
        <v>144176.31721958838</v>
      </c>
      <c r="F18" s="120">
        <f>+[4]Tafla!F19</f>
        <v>140245.58275145473</v>
      </c>
    </row>
    <row r="19" spans="1:6" x14ac:dyDescent="0.3">
      <c r="A19" s="5">
        <v>145</v>
      </c>
      <c r="B19" s="108" t="s">
        <v>24</v>
      </c>
      <c r="C19" s="120">
        <f>+[4]Tafla!C20</f>
        <v>101844</v>
      </c>
      <c r="D19" s="120">
        <f>+[4]Tafla!D20</f>
        <v>63156</v>
      </c>
      <c r="E19" s="120">
        <f>+[4]Tafla!E20</f>
        <v>77609.61721958837</v>
      </c>
      <c r="F19" s="120">
        <f>+[4]Tafla!F20</f>
        <v>59177.182751454733</v>
      </c>
    </row>
    <row r="20" spans="1:6" s="11" customFormat="1" x14ac:dyDescent="0.3">
      <c r="A20" s="12"/>
      <c r="B20" s="108" t="s">
        <v>25</v>
      </c>
      <c r="C20" s="120">
        <f>+[4]Tafla!C21</f>
        <v>37799</v>
      </c>
      <c r="D20" s="120">
        <f>+[4]Tafla!D21</f>
        <v>53695</v>
      </c>
      <c r="E20" s="120">
        <f>+[4]Tafla!E21</f>
        <v>53818</v>
      </c>
      <c r="F20" s="120">
        <f>+[4]Tafla!F21</f>
        <v>56822</v>
      </c>
    </row>
    <row r="21" spans="1:6" s="11" customFormat="1" x14ac:dyDescent="0.3">
      <c r="A21" s="12">
        <v>2</v>
      </c>
      <c r="B21" s="105" t="s">
        <v>26</v>
      </c>
      <c r="C21" s="120">
        <f>+[4]Tafla!C22</f>
        <v>58344</v>
      </c>
      <c r="D21" s="120">
        <f>+[4]Tafla!D22</f>
        <v>61845</v>
      </c>
      <c r="E21" s="120">
        <f>+[4]Tafla!E22</f>
        <v>66525.313046919357</v>
      </c>
      <c r="F21" s="120">
        <f>+[4]Tafla!F22</f>
        <v>69393.956351228728</v>
      </c>
    </row>
    <row r="22" spans="1:6" x14ac:dyDescent="0.3">
      <c r="A22" s="5">
        <v>21</v>
      </c>
      <c r="B22" s="105" t="s">
        <v>27</v>
      </c>
      <c r="C22" s="120">
        <f>+[4]Tafla!C23</f>
        <v>17968</v>
      </c>
      <c r="D22" s="120">
        <f>+[4]Tafla!D23</f>
        <v>15620</v>
      </c>
      <c r="E22" s="120">
        <f>+[4]Tafla!E23</f>
        <v>26630.344249059894</v>
      </c>
      <c r="F22" s="120">
        <f>+[4]Tafla!F23</f>
        <v>28018.125439100164</v>
      </c>
    </row>
    <row r="23" spans="1:6" x14ac:dyDescent="0.3">
      <c r="A23" s="5">
        <v>22</v>
      </c>
      <c r="B23" s="3" t="s">
        <v>11</v>
      </c>
      <c r="C23" s="119">
        <f>+[4]Tafla!C24</f>
        <v>1432217</v>
      </c>
      <c r="D23" s="119">
        <f>+[4]Tafla!D24</f>
        <v>1577816</v>
      </c>
      <c r="E23" s="119">
        <f>+[4]Tafla!E24</f>
        <v>1587405.4984752072</v>
      </c>
      <c r="F23" s="119">
        <f>+[4]Tafla!F24</f>
        <v>1659559.558465332</v>
      </c>
    </row>
    <row r="24" spans="1:6" x14ac:dyDescent="0.3">
      <c r="A24" s="5">
        <v>23</v>
      </c>
      <c r="B24" s="104" t="s">
        <v>28</v>
      </c>
      <c r="C24" s="119">
        <f>+[4]Tafla!C25</f>
        <v>1419399</v>
      </c>
      <c r="D24" s="119">
        <f>+[4]Tafla!D25</f>
        <v>1566980</v>
      </c>
      <c r="E24" s="119">
        <f>+[4]Tafla!E25</f>
        <v>1577669.391423627</v>
      </c>
      <c r="F24" s="119">
        <f>+[4]Tafla!F25</f>
        <v>1637080.9556760946</v>
      </c>
    </row>
    <row r="25" spans="1:6" x14ac:dyDescent="0.3">
      <c r="A25" s="5">
        <v>24</v>
      </c>
      <c r="B25" s="105" t="s">
        <v>29</v>
      </c>
      <c r="C25" s="120">
        <f>+[4]Tafla!C26</f>
        <v>291351</v>
      </c>
      <c r="D25" s="120">
        <f>+[4]Tafla!D26</f>
        <v>313514</v>
      </c>
      <c r="E25" s="120">
        <f>+[4]Tafla!E26</f>
        <v>354202.48820052639</v>
      </c>
      <c r="F25" s="120">
        <f>+[4]Tafla!F26</f>
        <v>368394.86452234641</v>
      </c>
    </row>
    <row r="26" spans="1:6" x14ac:dyDescent="0.3">
      <c r="A26" s="5">
        <v>25</v>
      </c>
      <c r="B26" s="105" t="s">
        <v>30</v>
      </c>
      <c r="C26" s="120">
        <f>+[4]Tafla!C27</f>
        <v>218537</v>
      </c>
      <c r="D26" s="120">
        <f>+[4]Tafla!D27</f>
        <v>231049</v>
      </c>
      <c r="E26" s="120">
        <f>+[4]Tafla!E27</f>
        <v>248409.04907022655</v>
      </c>
      <c r="F26" s="120">
        <f>+[4]Tafla!F27</f>
        <v>261772.79751233192</v>
      </c>
    </row>
    <row r="27" spans="1:6" x14ac:dyDescent="0.3">
      <c r="A27" s="5">
        <v>26</v>
      </c>
      <c r="B27" s="105" t="s">
        <v>31</v>
      </c>
      <c r="C27" s="120">
        <f>+[4]Tafla!C28</f>
        <v>87655</v>
      </c>
      <c r="D27" s="120">
        <f>+[4]Tafla!D28</f>
        <v>94779</v>
      </c>
      <c r="E27" s="120">
        <f>+[4]Tafla!E28</f>
        <v>94715.110468720639</v>
      </c>
      <c r="F27" s="120">
        <f>+[4]Tafla!F28</f>
        <v>97745.994003719694</v>
      </c>
    </row>
    <row r="28" spans="1:6" x14ac:dyDescent="0.3">
      <c r="A28" s="5">
        <v>27</v>
      </c>
      <c r="B28" s="105" t="s">
        <v>8</v>
      </c>
      <c r="C28" s="120">
        <f>+[4]Tafla!C29</f>
        <v>210172</v>
      </c>
      <c r="D28" s="120">
        <f>+[4]Tafla!D29</f>
        <v>174766</v>
      </c>
      <c r="E28" s="120">
        <f>+[4]Tafla!E29</f>
        <v>169750.09457756131</v>
      </c>
      <c r="F28" s="120">
        <f>+[4]Tafla!F29</f>
        <v>160049.71184500316</v>
      </c>
    </row>
    <row r="29" spans="1:6" x14ac:dyDescent="0.3">
      <c r="A29" s="5">
        <v>28</v>
      </c>
      <c r="B29" s="105" t="s">
        <v>32</v>
      </c>
      <c r="C29" s="120">
        <f>+[4]Tafla!C30</f>
        <v>61140</v>
      </c>
      <c r="D29" s="120">
        <f>+[4]Tafla!D30</f>
        <v>70972</v>
      </c>
      <c r="E29" s="120">
        <f>+[4]Tafla!E30</f>
        <v>74516.098720771421</v>
      </c>
      <c r="F29" s="120">
        <f>+[4]Tafla!F30</f>
        <v>72392.215277021067</v>
      </c>
    </row>
    <row r="30" spans="1:6" s="11" customFormat="1" x14ac:dyDescent="0.3">
      <c r="A30" s="12">
        <v>31</v>
      </c>
      <c r="B30" s="105" t="s">
        <v>21</v>
      </c>
      <c r="C30" s="120">
        <f>+[4]Tafla!C31</f>
        <v>448738</v>
      </c>
      <c r="D30" s="120">
        <f>+[4]Tafla!D31</f>
        <v>491842</v>
      </c>
      <c r="E30" s="120">
        <f>+[4]Tafla!E31</f>
        <v>525520.43649173563</v>
      </c>
      <c r="F30" s="120">
        <f>+[4]Tafla!F31</f>
        <v>565840.70769137656</v>
      </c>
    </row>
    <row r="31" spans="1:6" x14ac:dyDescent="0.3">
      <c r="A31" s="5">
        <v>311</v>
      </c>
      <c r="B31" s="108" t="s">
        <v>319</v>
      </c>
      <c r="C31" s="120">
        <f>+[4]Tafla!C32</f>
        <v>16699</v>
      </c>
      <c r="D31" s="120">
        <f>+[4]Tafla!D32</f>
        <v>16021</v>
      </c>
      <c r="E31" s="120">
        <f>+[4]Tafla!E32</f>
        <v>16379</v>
      </c>
      <c r="F31" s="120">
        <f>+[4]Tafla!F32</f>
        <v>18273.8</v>
      </c>
    </row>
    <row r="32" spans="1:6" x14ac:dyDescent="0.3">
      <c r="A32" s="5">
        <v>23</v>
      </c>
      <c r="B32" s="108" t="s">
        <v>320</v>
      </c>
      <c r="C32" s="120">
        <f>+[4]Tafla!C33</f>
        <v>378115</v>
      </c>
      <c r="D32" s="120">
        <f>+[4]Tafla!D33</f>
        <v>408150</v>
      </c>
      <c r="E32" s="120">
        <f>+[4]Tafla!E33</f>
        <v>446742.4</v>
      </c>
      <c r="F32" s="120">
        <f>+[4]Tafla!F33</f>
        <v>477400.10000000009</v>
      </c>
    </row>
    <row r="33" spans="1:6" s="11" customFormat="1" x14ac:dyDescent="0.3">
      <c r="A33" s="12"/>
      <c r="B33" s="108" t="s">
        <v>321</v>
      </c>
      <c r="C33" s="120">
        <f>+[4]Tafla!C34</f>
        <v>53924</v>
      </c>
      <c r="D33" s="120">
        <f>+[4]Tafla!D34</f>
        <v>67671</v>
      </c>
      <c r="E33" s="120">
        <f>+[4]Tafla!E34</f>
        <v>62399.036491735642</v>
      </c>
      <c r="F33" s="120">
        <f>+[4]Tafla!F34</f>
        <v>70166.80769137638</v>
      </c>
    </row>
    <row r="34" spans="1:6" s="11" customFormat="1" x14ac:dyDescent="0.3">
      <c r="A34" s="12"/>
      <c r="B34" s="105" t="s">
        <v>33</v>
      </c>
      <c r="C34" s="120">
        <f>+[4]Tafla!C35</f>
        <v>25883</v>
      </c>
      <c r="D34" s="120">
        <f>+[4]Tafla!D35</f>
        <v>37347</v>
      </c>
      <c r="E34" s="120">
        <f>+[4]Tafla!E35</f>
        <v>34475.800000000003</v>
      </c>
      <c r="F34" s="120">
        <f>+[4]Tafla!F35</f>
        <v>34687.9</v>
      </c>
    </row>
    <row r="35" spans="1:6" s="11" customFormat="1" x14ac:dyDescent="0.3">
      <c r="A35" s="12"/>
      <c r="B35" s="105" t="s">
        <v>34</v>
      </c>
      <c r="C35" s="120">
        <f>+[4]Tafla!C36</f>
        <v>75923</v>
      </c>
      <c r="D35" s="120">
        <f>+[4]Tafla!D36</f>
        <v>152711</v>
      </c>
      <c r="E35" s="120">
        <f>+[4]Tafla!E36</f>
        <v>76080.313894085135</v>
      </c>
      <c r="F35" s="120">
        <f>+[4]Tafla!F36</f>
        <v>76196.764824295795</v>
      </c>
    </row>
    <row r="36" spans="1:6" s="11" customFormat="1" x14ac:dyDescent="0.3">
      <c r="A36" s="12"/>
      <c r="B36" s="104" t="s">
        <v>35</v>
      </c>
      <c r="C36" s="119">
        <f>+[4]Tafla!C37</f>
        <v>12818</v>
      </c>
      <c r="D36" s="119">
        <f>+[4]Tafla!D37</f>
        <v>10836</v>
      </c>
      <c r="E36" s="119">
        <f>+[4]Tafla!E37</f>
        <v>9736.107051580213</v>
      </c>
      <c r="F36" s="119">
        <f>+[4]Tafla!F37</f>
        <v>22478.602789237411</v>
      </c>
    </row>
    <row r="37" spans="1:6" x14ac:dyDescent="0.3">
      <c r="B37" s="105" t="s">
        <v>36</v>
      </c>
      <c r="C37" s="120">
        <f>+[4]Tafla!C38</f>
        <v>100473</v>
      </c>
      <c r="D37" s="120">
        <f>+[4]Tafla!D38</f>
        <v>105615</v>
      </c>
      <c r="E37" s="120">
        <f>+[4]Tafla!E38</f>
        <v>104451.21752030085</v>
      </c>
      <c r="F37" s="120">
        <f>+[4]Tafla!F38</f>
        <v>120224.59679295711</v>
      </c>
    </row>
    <row r="38" spans="1:6" x14ac:dyDescent="0.3">
      <c r="B38" s="105" t="s">
        <v>37</v>
      </c>
      <c r="C38" s="120">
        <f>+[4]Tafla!C39</f>
        <v>-87655</v>
      </c>
      <c r="D38" s="120">
        <f>+[4]Tafla!D39</f>
        <v>-94779</v>
      </c>
      <c r="E38" s="120">
        <f>+[4]Tafla!E39</f>
        <v>-94715.110468720639</v>
      </c>
      <c r="F38" s="120">
        <f>+[4]Tafla!F39</f>
        <v>-97745.994003719694</v>
      </c>
    </row>
    <row r="39" spans="1:6" x14ac:dyDescent="0.3">
      <c r="B39" s="3" t="s">
        <v>6</v>
      </c>
      <c r="C39" s="119">
        <f>+[4]Tafla!C40</f>
        <v>42191</v>
      </c>
      <c r="D39" s="119">
        <f>+[4]Tafla!D40</f>
        <v>-20996</v>
      </c>
      <c r="E39" s="119">
        <f>+[4]Tafla!E40</f>
        <v>68663.653398333408</v>
      </c>
      <c r="F39" s="119">
        <f>+[4]Tafla!F40</f>
        <v>83587.474112085532</v>
      </c>
    </row>
    <row r="40" spans="1:6" x14ac:dyDescent="0.3">
      <c r="B40" s="3" t="s">
        <v>9</v>
      </c>
      <c r="C40" s="119">
        <f>+[4]Tafla!C41</f>
        <v>-108328</v>
      </c>
      <c r="D40" s="119">
        <f>+[4]Tafla!D41</f>
        <v>-111610</v>
      </c>
      <c r="E40" s="119">
        <f>+[4]Tafla!E41</f>
        <v>-92140.477357972937</v>
      </c>
      <c r="F40" s="119">
        <f>+[4]Tafla!F41</f>
        <v>-100872.52909354842</v>
      </c>
    </row>
    <row r="41" spans="1:6" x14ac:dyDescent="0.3">
      <c r="B41" s="3" t="s">
        <v>12</v>
      </c>
      <c r="C41" s="119">
        <f>+[4]Tafla!C42</f>
        <v>-66137</v>
      </c>
      <c r="D41" s="119">
        <f>+[4]Tafla!D42</f>
        <v>-132606</v>
      </c>
      <c r="E41" s="119">
        <f>+[4]Tafla!E42</f>
        <v>-23476.823959639529</v>
      </c>
      <c r="F41" s="119">
        <f>+[4]Tafla!F42</f>
        <v>-17285.05498146289</v>
      </c>
    </row>
    <row r="42" spans="1:6" ht="5.5" customHeight="1" x14ac:dyDescent="0.3">
      <c r="B42" s="101"/>
      <c r="C42" s="101"/>
      <c r="D42" s="101"/>
      <c r="E42" s="101"/>
      <c r="F42" s="101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1AA23-2B92-441C-AD25-88A203E68ADD}">
  <sheetPr codeName="Sheet25"/>
  <dimension ref="A1:E11"/>
  <sheetViews>
    <sheetView topLeftCell="A2" workbookViewId="0">
      <selection activeCell="F20" sqref="F20"/>
    </sheetView>
  </sheetViews>
  <sheetFormatPr defaultColWidth="9.1796875" defaultRowHeight="13" x14ac:dyDescent="0.3"/>
  <cols>
    <col min="1" max="1" width="28.81640625" style="46" customWidth="1"/>
    <col min="2" max="5" width="10.453125" style="46" customWidth="1"/>
    <col min="6" max="16384" width="9.1796875" style="46"/>
  </cols>
  <sheetData>
    <row r="1" spans="1:5" hidden="1" x14ac:dyDescent="0.3">
      <c r="A1" s="49"/>
      <c r="B1" s="49"/>
      <c r="C1" s="49"/>
      <c r="D1" s="49"/>
      <c r="E1" s="49"/>
    </row>
    <row r="2" spans="1:5" ht="24" x14ac:dyDescent="0.3">
      <c r="A2" s="90" t="s">
        <v>39</v>
      </c>
      <c r="B2" s="181" t="s">
        <v>248</v>
      </c>
      <c r="C2" s="181" t="s">
        <v>286</v>
      </c>
      <c r="D2" s="181" t="s">
        <v>287</v>
      </c>
      <c r="E2" s="181" t="s">
        <v>251</v>
      </c>
    </row>
    <row r="3" spans="1:5" x14ac:dyDescent="0.3">
      <c r="A3" s="92"/>
      <c r="B3" s="92"/>
      <c r="C3" s="92"/>
      <c r="D3" s="92"/>
      <c r="E3" s="97"/>
    </row>
    <row r="4" spans="1:5" x14ac:dyDescent="0.3">
      <c r="A4" s="93" t="s">
        <v>457</v>
      </c>
      <c r="B4" s="182">
        <v>840.45</v>
      </c>
      <c r="C4" s="182"/>
      <c r="D4" s="182">
        <v>0</v>
      </c>
      <c r="E4" s="183">
        <v>0</v>
      </c>
    </row>
    <row r="5" spans="1:5" x14ac:dyDescent="0.3">
      <c r="A5" s="93" t="s">
        <v>458</v>
      </c>
      <c r="B5" s="182">
        <v>394.81900000000002</v>
      </c>
      <c r="C5" s="182">
        <v>750</v>
      </c>
      <c r="D5" s="182">
        <v>-450</v>
      </c>
      <c r="E5" s="183">
        <v>0</v>
      </c>
    </row>
    <row r="6" spans="1:5" x14ac:dyDescent="0.3">
      <c r="A6" s="93" t="s">
        <v>459</v>
      </c>
      <c r="B6" s="182">
        <v>28.338000000000001</v>
      </c>
      <c r="C6" s="182">
        <v>0</v>
      </c>
      <c r="D6" s="182">
        <v>-60</v>
      </c>
      <c r="E6" s="183">
        <v>0</v>
      </c>
    </row>
    <row r="7" spans="1:5" x14ac:dyDescent="0.3">
      <c r="A7" s="93" t="s">
        <v>460</v>
      </c>
      <c r="B7" s="182">
        <v>-93.238</v>
      </c>
      <c r="C7" s="182">
        <v>0</v>
      </c>
      <c r="D7" s="182">
        <v>53.463999999999999</v>
      </c>
      <c r="E7" s="183">
        <v>100</v>
      </c>
    </row>
    <row r="8" spans="1:5" x14ac:dyDescent="0.3">
      <c r="A8" s="3" t="s">
        <v>80</v>
      </c>
      <c r="B8" s="184">
        <f>SUM(B4:B7)</f>
        <v>1170.3689999999999</v>
      </c>
      <c r="C8" s="184">
        <f t="shared" ref="C8:E8" si="0">SUM(C4:C7)</f>
        <v>750</v>
      </c>
      <c r="D8" s="184">
        <f t="shared" si="0"/>
        <v>-456.536</v>
      </c>
      <c r="E8" s="185">
        <f t="shared" si="0"/>
        <v>100</v>
      </c>
    </row>
    <row r="9" spans="1:5" ht="5.5" customHeight="1" x14ac:dyDescent="0.3">
      <c r="A9" s="101"/>
      <c r="B9" s="101"/>
      <c r="C9" s="101"/>
      <c r="D9" s="101"/>
      <c r="E9" s="101"/>
    </row>
    <row r="11" spans="1:5" ht="0.75" customHeight="1" x14ac:dyDescent="0.3"/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0EBD8-D1E2-4BDD-AF35-FD56497E6644}">
  <sheetPr codeName="Sheet26"/>
  <dimension ref="A1:N36"/>
  <sheetViews>
    <sheetView topLeftCell="A2" workbookViewId="0">
      <selection activeCell="I42" sqref="I42"/>
    </sheetView>
  </sheetViews>
  <sheetFormatPr defaultColWidth="8.54296875" defaultRowHeight="14.5" x14ac:dyDescent="0.35"/>
  <cols>
    <col min="1" max="1" width="45.54296875" style="82" customWidth="1"/>
    <col min="2" max="3" width="10.54296875" style="82" customWidth="1"/>
    <col min="4" max="16384" width="8.54296875" style="82"/>
  </cols>
  <sheetData>
    <row r="1" spans="1:14" hidden="1" x14ac:dyDescent="0.35">
      <c r="A1" s="4"/>
      <c r="B1" s="4"/>
      <c r="C1" s="4"/>
    </row>
    <row r="2" spans="1:14" ht="24.5" x14ac:dyDescent="0.35">
      <c r="A2" s="90" t="s">
        <v>39</v>
      </c>
      <c r="B2" s="91" t="s">
        <v>451</v>
      </c>
      <c r="C2" s="91" t="s">
        <v>367</v>
      </c>
      <c r="D2" s="91" t="s">
        <v>254</v>
      </c>
      <c r="N2" s="50"/>
    </row>
    <row r="3" spans="1:14" ht="3" customHeight="1" x14ac:dyDescent="0.35">
      <c r="A3" s="92"/>
      <c r="B3" s="92"/>
      <c r="C3" s="92"/>
      <c r="D3" s="1"/>
      <c r="H3" s="50"/>
      <c r="I3" s="50"/>
      <c r="J3" s="50"/>
      <c r="K3" s="50"/>
      <c r="L3" s="50"/>
      <c r="M3" s="50"/>
      <c r="N3" s="50"/>
    </row>
    <row r="4" spans="1:14" x14ac:dyDescent="0.35">
      <c r="A4" s="124" t="s">
        <v>255</v>
      </c>
      <c r="B4" s="125"/>
      <c r="C4" s="125"/>
      <c r="D4" s="1"/>
    </row>
    <row r="5" spans="1:14" x14ac:dyDescent="0.35">
      <c r="A5" s="93" t="s">
        <v>256</v>
      </c>
      <c r="B5" s="120">
        <v>51642.13</v>
      </c>
      <c r="C5" s="120">
        <v>51624.368999999999</v>
      </c>
      <c r="D5" s="120">
        <f t="shared" ref="D5:D33" si="0">+C5-B5</f>
        <v>-17.760999999998603</v>
      </c>
      <c r="H5" s="15"/>
      <c r="I5" s="15"/>
      <c r="J5" s="50"/>
      <c r="K5" s="50"/>
      <c r="L5" s="50"/>
      <c r="M5" s="50"/>
      <c r="N5" s="50"/>
    </row>
    <row r="6" spans="1:14" x14ac:dyDescent="0.35">
      <c r="A6" s="93" t="s">
        <v>257</v>
      </c>
      <c r="B6" s="120">
        <v>49765.432999999997</v>
      </c>
      <c r="C6" s="120">
        <v>49932.800000000003</v>
      </c>
      <c r="D6" s="120">
        <f t="shared" si="0"/>
        <v>167.36700000000565</v>
      </c>
      <c r="H6" s="15"/>
      <c r="I6" s="15"/>
      <c r="J6" s="50"/>
      <c r="K6" s="50"/>
      <c r="L6" s="50"/>
      <c r="M6" s="50"/>
      <c r="N6" s="50"/>
    </row>
    <row r="7" spans="1:14" x14ac:dyDescent="0.35">
      <c r="A7" s="93" t="s">
        <v>284</v>
      </c>
      <c r="B7" s="120">
        <v>101</v>
      </c>
      <c r="C7" s="120">
        <v>6</v>
      </c>
      <c r="D7" s="120">
        <f t="shared" si="0"/>
        <v>-95</v>
      </c>
      <c r="H7" s="15"/>
      <c r="I7" s="15"/>
      <c r="J7" s="50"/>
      <c r="K7" s="50"/>
      <c r="L7" s="50"/>
      <c r="M7" s="50"/>
      <c r="N7" s="50"/>
    </row>
    <row r="8" spans="1:14" x14ac:dyDescent="0.35">
      <c r="A8" s="93" t="s">
        <v>260</v>
      </c>
      <c r="B8" s="120">
        <v>532.20000000000005</v>
      </c>
      <c r="C8" s="120">
        <v>527.20000000000005</v>
      </c>
      <c r="D8" s="120">
        <f t="shared" si="0"/>
        <v>-5</v>
      </c>
      <c r="H8" s="15"/>
      <c r="I8" s="15"/>
      <c r="J8" s="50"/>
      <c r="K8" s="50"/>
      <c r="L8" s="50"/>
      <c r="M8" s="50"/>
      <c r="N8" s="50"/>
    </row>
    <row r="9" spans="1:14" x14ac:dyDescent="0.35">
      <c r="A9" s="3" t="s">
        <v>261</v>
      </c>
      <c r="B9" s="119">
        <f>+B5-B6+B7-B8</f>
        <v>1445.4970000000001</v>
      </c>
      <c r="C9" s="119">
        <f>+C5-C6+C7-C8</f>
        <v>1170.3689999999958</v>
      </c>
      <c r="D9" s="119">
        <f t="shared" si="0"/>
        <v>-275.12800000000425</v>
      </c>
      <c r="H9" s="15"/>
      <c r="I9" s="15"/>
      <c r="J9" s="50"/>
      <c r="K9" s="50"/>
      <c r="L9" s="50"/>
      <c r="M9" s="50"/>
      <c r="N9" s="50"/>
    </row>
    <row r="10" spans="1:14" x14ac:dyDescent="0.35">
      <c r="A10" s="93" t="s">
        <v>262</v>
      </c>
      <c r="B10" s="120">
        <v>0</v>
      </c>
      <c r="C10" s="120">
        <v>0</v>
      </c>
      <c r="D10" s="120">
        <f t="shared" si="0"/>
        <v>0</v>
      </c>
      <c r="H10" s="50"/>
      <c r="I10" s="50"/>
      <c r="J10" s="50"/>
      <c r="K10" s="50"/>
      <c r="L10" s="50"/>
      <c r="M10" s="50"/>
      <c r="N10" s="50"/>
    </row>
    <row r="11" spans="1:14" ht="15" customHeight="1" x14ac:dyDescent="0.35">
      <c r="A11" s="93" t="s">
        <v>263</v>
      </c>
      <c r="B11" s="120">
        <v>0</v>
      </c>
      <c r="C11" s="120">
        <v>0</v>
      </c>
      <c r="D11" s="120">
        <f t="shared" si="0"/>
        <v>0</v>
      </c>
      <c r="H11" s="50"/>
      <c r="I11" s="50"/>
      <c r="J11" s="50"/>
      <c r="K11" s="50"/>
      <c r="L11" s="50"/>
      <c r="M11" s="50"/>
      <c r="N11" s="50"/>
    </row>
    <row r="12" spans="1:14" x14ac:dyDescent="0.35">
      <c r="A12" s="93" t="s">
        <v>290</v>
      </c>
      <c r="B12" s="120">
        <v>0</v>
      </c>
      <c r="C12" s="120">
        <v>0</v>
      </c>
      <c r="D12" s="120">
        <f t="shared" si="0"/>
        <v>0</v>
      </c>
      <c r="H12" s="50"/>
      <c r="I12" s="50"/>
      <c r="J12" s="50"/>
      <c r="K12" s="50"/>
      <c r="L12" s="50"/>
      <c r="M12" s="50"/>
      <c r="N12" s="50"/>
    </row>
    <row r="13" spans="1:14" x14ac:dyDescent="0.35">
      <c r="A13" s="3" t="s">
        <v>264</v>
      </c>
      <c r="B13" s="119">
        <f>+B9+B10+B11-B12</f>
        <v>1445.4970000000001</v>
      </c>
      <c r="C13" s="119">
        <f>+C9+C10+C11-C12</f>
        <v>1170.3689999999958</v>
      </c>
      <c r="D13" s="119">
        <f t="shared" si="0"/>
        <v>-275.12800000000425</v>
      </c>
      <c r="H13" s="50"/>
      <c r="I13" s="50"/>
      <c r="J13" s="50"/>
      <c r="K13" s="50"/>
      <c r="L13" s="50"/>
      <c r="M13" s="50"/>
      <c r="N13" s="50"/>
    </row>
    <row r="14" spans="1:14" x14ac:dyDescent="0.35">
      <c r="A14" s="124" t="s">
        <v>265</v>
      </c>
      <c r="B14" s="120"/>
      <c r="C14" s="120"/>
      <c r="D14" s="120">
        <f t="shared" si="0"/>
        <v>0</v>
      </c>
      <c r="K14" s="50"/>
      <c r="L14" s="50"/>
      <c r="M14" s="50"/>
      <c r="N14" s="50"/>
    </row>
    <row r="15" spans="1:14" x14ac:dyDescent="0.35">
      <c r="A15" s="93" t="s">
        <v>264</v>
      </c>
      <c r="B15" s="120">
        <f>+B13</f>
        <v>1445.4970000000001</v>
      </c>
      <c r="C15" s="120">
        <f>+C13</f>
        <v>1170.3689999999958</v>
      </c>
      <c r="D15" s="120">
        <f t="shared" si="0"/>
        <v>-275.12800000000425</v>
      </c>
      <c r="G15" s="50"/>
      <c r="H15" s="50"/>
      <c r="I15" s="50"/>
    </row>
    <row r="16" spans="1:14" x14ac:dyDescent="0.35">
      <c r="A16" s="93" t="s">
        <v>266</v>
      </c>
      <c r="B16" s="120">
        <v>253</v>
      </c>
      <c r="C16" s="120">
        <v>248</v>
      </c>
      <c r="D16" s="120">
        <f t="shared" si="0"/>
        <v>-5</v>
      </c>
      <c r="G16" s="50"/>
      <c r="H16" s="50"/>
      <c r="I16" s="50"/>
    </row>
    <row r="17" spans="1:10" x14ac:dyDescent="0.35">
      <c r="A17" s="93" t="s">
        <v>267</v>
      </c>
      <c r="B17" s="120">
        <v>19.326000000000001</v>
      </c>
      <c r="C17" s="120">
        <v>-10.227</v>
      </c>
      <c r="D17" s="120">
        <f t="shared" si="0"/>
        <v>-29.553000000000001</v>
      </c>
      <c r="G17" s="50"/>
      <c r="H17" s="50"/>
      <c r="I17" s="50"/>
    </row>
    <row r="18" spans="1:10" ht="15" customHeight="1" x14ac:dyDescent="0.35">
      <c r="A18" s="3" t="s">
        <v>83</v>
      </c>
      <c r="B18" s="119">
        <f>+B15+B16+B17</f>
        <v>1717.8230000000001</v>
      </c>
      <c r="C18" s="119">
        <f>+C15+C16+C17</f>
        <v>1408.1419999999957</v>
      </c>
      <c r="D18" s="119">
        <f t="shared" si="0"/>
        <v>-309.68100000000436</v>
      </c>
    </row>
    <row r="19" spans="1:10" x14ac:dyDescent="0.35">
      <c r="A19" s="93" t="s">
        <v>85</v>
      </c>
      <c r="B19" s="120">
        <v>100</v>
      </c>
      <c r="C19" s="120">
        <v>100</v>
      </c>
      <c r="D19" s="120">
        <f t="shared" si="0"/>
        <v>0</v>
      </c>
      <c r="G19" s="50"/>
      <c r="H19" s="50"/>
      <c r="I19" s="50"/>
      <c r="J19" s="50"/>
    </row>
    <row r="20" spans="1:10" x14ac:dyDescent="0.35">
      <c r="A20" s="93" t="s">
        <v>268</v>
      </c>
      <c r="B20" s="120">
        <v>100</v>
      </c>
      <c r="C20" s="120">
        <v>100</v>
      </c>
      <c r="D20" s="120">
        <f t="shared" si="0"/>
        <v>0</v>
      </c>
      <c r="G20" s="50"/>
      <c r="H20" s="50"/>
      <c r="I20" s="50"/>
    </row>
    <row r="21" spans="1:10" x14ac:dyDescent="0.35">
      <c r="A21" s="93" t="s">
        <v>269</v>
      </c>
      <c r="B21" s="120">
        <v>-510</v>
      </c>
      <c r="C21" s="120">
        <v>-510</v>
      </c>
      <c r="D21" s="120">
        <f t="shared" si="0"/>
        <v>0</v>
      </c>
      <c r="G21" s="50"/>
      <c r="H21" s="50"/>
      <c r="I21" s="50"/>
    </row>
    <row r="22" spans="1:10" x14ac:dyDescent="0.35">
      <c r="A22" s="93" t="s">
        <v>270</v>
      </c>
      <c r="B22" s="120">
        <v>-2482.39</v>
      </c>
      <c r="C22" s="120">
        <v>6053.4639999999999</v>
      </c>
      <c r="D22" s="120">
        <f t="shared" si="0"/>
        <v>8535.8539999999994</v>
      </c>
      <c r="G22" s="50"/>
      <c r="H22" s="50"/>
      <c r="I22" s="50"/>
    </row>
    <row r="23" spans="1:10" ht="15" customHeight="1" x14ac:dyDescent="0.35">
      <c r="A23" s="93" t="s">
        <v>414</v>
      </c>
      <c r="B23" s="120">
        <v>0</v>
      </c>
      <c r="C23" s="120">
        <v>0</v>
      </c>
      <c r="D23" s="120">
        <f t="shared" si="0"/>
        <v>0</v>
      </c>
      <c r="G23" s="50"/>
      <c r="H23" s="50"/>
      <c r="I23" s="50"/>
    </row>
    <row r="24" spans="1:10" x14ac:dyDescent="0.35">
      <c r="A24" s="3" t="s">
        <v>271</v>
      </c>
      <c r="B24" s="119">
        <f>-B19+B20+B21+B22+B23</f>
        <v>-2992.39</v>
      </c>
      <c r="C24" s="119">
        <f>-C19+C20+C21+C22+C23</f>
        <v>5543.4639999999999</v>
      </c>
      <c r="D24" s="119">
        <f t="shared" si="0"/>
        <v>8535.8539999999994</v>
      </c>
    </row>
    <row r="25" spans="1:10" ht="15" customHeight="1" x14ac:dyDescent="0.35">
      <c r="A25" s="93" t="s">
        <v>272</v>
      </c>
      <c r="B25" s="120">
        <v>0</v>
      </c>
      <c r="C25" s="120">
        <v>0</v>
      </c>
      <c r="D25" s="120">
        <f t="shared" si="0"/>
        <v>0</v>
      </c>
    </row>
    <row r="26" spans="1:10" x14ac:dyDescent="0.35">
      <c r="A26" s="93" t="s">
        <v>273</v>
      </c>
      <c r="B26" s="120">
        <v>0</v>
      </c>
      <c r="C26" s="120">
        <v>0</v>
      </c>
      <c r="D26" s="120">
        <f t="shared" si="0"/>
        <v>0</v>
      </c>
    </row>
    <row r="27" spans="1:10" x14ac:dyDescent="0.35">
      <c r="A27" s="93" t="s">
        <v>274</v>
      </c>
      <c r="B27" s="120">
        <v>2500</v>
      </c>
      <c r="C27" s="120">
        <v>0</v>
      </c>
      <c r="D27" s="120">
        <f t="shared" si="0"/>
        <v>-2500</v>
      </c>
    </row>
    <row r="28" spans="1:10" x14ac:dyDescent="0.35">
      <c r="A28" s="93" t="s">
        <v>275</v>
      </c>
      <c r="B28" s="120">
        <v>750</v>
      </c>
      <c r="C28" s="120">
        <v>750</v>
      </c>
      <c r="D28" s="120">
        <f t="shared" si="0"/>
        <v>0</v>
      </c>
    </row>
    <row r="29" spans="1:10" x14ac:dyDescent="0.35">
      <c r="A29" s="93" t="s">
        <v>288</v>
      </c>
      <c r="B29" s="120">
        <v>3602</v>
      </c>
      <c r="C29" s="120">
        <v>6000</v>
      </c>
      <c r="D29" s="120">
        <f t="shared" si="0"/>
        <v>2398</v>
      </c>
    </row>
    <row r="30" spans="1:10" x14ac:dyDescent="0.35">
      <c r="A30" s="3" t="s">
        <v>93</v>
      </c>
      <c r="B30" s="119">
        <f t="shared" ref="B30:C30" si="1">+B25-B26+B27-B28-B29</f>
        <v>-1852</v>
      </c>
      <c r="C30" s="119">
        <f t="shared" si="1"/>
        <v>-6750</v>
      </c>
      <c r="D30" s="119">
        <f t="shared" si="0"/>
        <v>-4898</v>
      </c>
    </row>
    <row r="31" spans="1:10" ht="15" customHeight="1" x14ac:dyDescent="0.35">
      <c r="A31" s="3" t="s">
        <v>94</v>
      </c>
      <c r="B31" s="119">
        <f>+B18+B24+B30</f>
        <v>-3126.567</v>
      </c>
      <c r="C31" s="119">
        <f>+C18+C24+C30</f>
        <v>201.60599999999613</v>
      </c>
      <c r="D31" s="119">
        <f t="shared" si="0"/>
        <v>3328.1729999999961</v>
      </c>
    </row>
    <row r="32" spans="1:10" x14ac:dyDescent="0.35">
      <c r="A32" s="93" t="s">
        <v>276</v>
      </c>
      <c r="B32" s="120">
        <v>3720.6439999999998</v>
      </c>
      <c r="C32" s="120">
        <f>+B33</f>
        <v>594.07699999999977</v>
      </c>
      <c r="D32" s="120">
        <f t="shared" si="0"/>
        <v>-3126.567</v>
      </c>
    </row>
    <row r="33" spans="1:4" x14ac:dyDescent="0.35">
      <c r="A33" s="93" t="s">
        <v>277</v>
      </c>
      <c r="B33" s="120">
        <f>+B31+B32</f>
        <v>594.07699999999977</v>
      </c>
      <c r="C33" s="120">
        <f>+C31+C32</f>
        <v>795.6829999999959</v>
      </c>
      <c r="D33" s="120">
        <f t="shared" si="0"/>
        <v>201.60599999999613</v>
      </c>
    </row>
    <row r="34" spans="1:4" ht="8.5" customHeight="1" x14ac:dyDescent="0.35">
      <c r="A34" s="133"/>
      <c r="B34" s="127"/>
      <c r="C34" s="127"/>
      <c r="D34" s="127"/>
    </row>
    <row r="35" spans="1:4" ht="3" customHeight="1" x14ac:dyDescent="0.35">
      <c r="A35" s="133"/>
      <c r="B35" s="127"/>
      <c r="C35" s="127"/>
      <c r="D35" s="127"/>
    </row>
    <row r="36" spans="1:4" x14ac:dyDescent="0.35">
      <c r="C36" s="84"/>
      <c r="D36" s="84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C96D9-EEF2-4453-BEA6-842476AAB172}">
  <sheetPr codeName="Sheet27"/>
  <dimension ref="A1:D37"/>
  <sheetViews>
    <sheetView topLeftCell="A3" workbookViewId="0">
      <selection activeCell="C32" sqref="C32"/>
    </sheetView>
  </sheetViews>
  <sheetFormatPr defaultColWidth="9.1796875" defaultRowHeight="13" x14ac:dyDescent="0.3"/>
  <cols>
    <col min="1" max="1" width="42.81640625" style="46" customWidth="1"/>
    <col min="2" max="2" width="10.81640625" style="46" bestFit="1" customWidth="1"/>
    <col min="3" max="3" width="11.453125" style="46" bestFit="1" customWidth="1"/>
    <col min="4" max="4" width="14.1796875" style="46" bestFit="1" customWidth="1"/>
    <col min="5" max="16384" width="9.1796875" style="46"/>
  </cols>
  <sheetData>
    <row r="1" spans="1:4" hidden="1" x14ac:dyDescent="0.3">
      <c r="A1" s="53"/>
      <c r="B1" s="54" t="s">
        <v>81</v>
      </c>
      <c r="C1" s="55"/>
      <c r="D1" s="55"/>
    </row>
    <row r="2" spans="1:4" hidden="1" x14ac:dyDescent="0.3">
      <c r="A2" s="56"/>
      <c r="B2" s="56"/>
      <c r="C2" s="56"/>
      <c r="D2" s="56"/>
    </row>
    <row r="3" spans="1:4" ht="24" x14ac:dyDescent="0.3">
      <c r="A3" s="90" t="s">
        <v>82</v>
      </c>
      <c r="B3" s="134" t="s">
        <v>364</v>
      </c>
      <c r="C3" s="134" t="s">
        <v>451</v>
      </c>
      <c r="D3" s="134" t="s">
        <v>367</v>
      </c>
    </row>
    <row r="4" spans="1:4" ht="18.649999999999999" customHeight="1" x14ac:dyDescent="0.3">
      <c r="A4" s="92"/>
      <c r="B4" s="92"/>
      <c r="C4" s="92"/>
      <c r="D4" s="92"/>
    </row>
    <row r="5" spans="1:4" ht="15" customHeight="1" x14ac:dyDescent="0.3">
      <c r="A5" s="186" t="s">
        <v>461</v>
      </c>
      <c r="B5" s="135"/>
      <c r="C5" s="98"/>
      <c r="D5" s="98"/>
    </row>
    <row r="6" spans="1:4" x14ac:dyDescent="0.3">
      <c r="A6" s="3" t="s">
        <v>462</v>
      </c>
      <c r="B6" s="135">
        <f>SUM(B7:B11)</f>
        <v>1346513</v>
      </c>
      <c r="C6" s="135">
        <f>SUM(C7:C11)</f>
        <v>1390612.7399911096</v>
      </c>
      <c r="D6" s="135">
        <f>SUM(D7:D11)</f>
        <v>1480464.8914341975</v>
      </c>
    </row>
    <row r="7" spans="1:4" x14ac:dyDescent="0.3">
      <c r="A7" s="96" t="s">
        <v>13</v>
      </c>
      <c r="B7" s="95">
        <f>[5]Tafla!B7</f>
        <v>1092769.4000000001</v>
      </c>
      <c r="C7" s="95">
        <f>[5]Tafla!C7</f>
        <v>1139041.5507002787</v>
      </c>
      <c r="D7" s="95">
        <f>[5]Tafla!D7</f>
        <v>1205500.000292663</v>
      </c>
    </row>
    <row r="8" spans="1:4" x14ac:dyDescent="0.3">
      <c r="A8" s="96" t="s">
        <v>20</v>
      </c>
      <c r="B8" s="95">
        <f>[5]Tafla!B8</f>
        <v>145840</v>
      </c>
      <c r="C8" s="95">
        <f>[5]Tafla!C8</f>
        <v>148920</v>
      </c>
      <c r="D8" s="95">
        <f>[5]Tafla!D8</f>
        <v>157129</v>
      </c>
    </row>
    <row r="9" spans="1:4" x14ac:dyDescent="0.3">
      <c r="A9" s="96" t="s">
        <v>21</v>
      </c>
      <c r="B9" s="95">
        <f>[5]Tafla!B9</f>
        <v>7452.2999999999993</v>
      </c>
      <c r="C9" s="95">
        <f>[5]Tafla!C9</f>
        <v>7679.2000000000007</v>
      </c>
      <c r="D9" s="95">
        <f>[5]Tafla!D9</f>
        <v>8085</v>
      </c>
    </row>
    <row r="10" spans="1:4" x14ac:dyDescent="0.3">
      <c r="A10" s="96" t="s">
        <v>258</v>
      </c>
      <c r="B10" s="95">
        <f>[5]Tafla!B10</f>
        <v>38925.9</v>
      </c>
      <c r="C10" s="95">
        <f>[5]Tafla!C10</f>
        <v>31390.989290831021</v>
      </c>
      <c r="D10" s="95">
        <f>[5]Tafla!D10</f>
        <v>33025.09114153454</v>
      </c>
    </row>
    <row r="11" spans="1:4" x14ac:dyDescent="0.3">
      <c r="A11" s="96" t="s">
        <v>22</v>
      </c>
      <c r="B11" s="95">
        <f>[5]Tafla!B11</f>
        <v>61525.400000000016</v>
      </c>
      <c r="C11" s="95">
        <f>[5]Tafla!C11</f>
        <v>63581.000000000058</v>
      </c>
      <c r="D11" s="95">
        <f>[5]Tafla!D11</f>
        <v>76725.800000000017</v>
      </c>
    </row>
    <row r="12" spans="1:4" x14ac:dyDescent="0.3">
      <c r="A12" s="3" t="s">
        <v>463</v>
      </c>
      <c r="B12" s="135">
        <f t="shared" ref="B12:D12" si="0">SUM(B13:B16)</f>
        <v>1403670.1952999998</v>
      </c>
      <c r="C12" s="135">
        <f t="shared" si="0"/>
        <v>1436522.3953</v>
      </c>
      <c r="D12" s="135">
        <f t="shared" si="0"/>
        <v>1506444.6223999993</v>
      </c>
    </row>
    <row r="13" spans="1:4" ht="18" customHeight="1" x14ac:dyDescent="0.3">
      <c r="A13" s="96" t="s">
        <v>464</v>
      </c>
      <c r="B13" s="95">
        <f>[5]Tafla!B13</f>
        <v>692053.59529999993</v>
      </c>
      <c r="C13" s="95">
        <f>[5]Tafla!C13</f>
        <v>705686.59529999993</v>
      </c>
      <c r="D13" s="95">
        <f>[5]Tafla!D13</f>
        <v>736081.82239999913</v>
      </c>
    </row>
    <row r="14" spans="1:4" ht="16.75" customHeight="1" x14ac:dyDescent="0.3">
      <c r="A14" s="96" t="s">
        <v>65</v>
      </c>
      <c r="B14" s="95">
        <f>[5]Tafla!B14</f>
        <v>583102.69999999995</v>
      </c>
      <c r="C14" s="95">
        <f>[5]Tafla!C14</f>
        <v>594627.69999999995</v>
      </c>
      <c r="D14" s="95">
        <f>[5]Tafla!D14</f>
        <v>622046.80000000028</v>
      </c>
    </row>
    <row r="15" spans="1:4" ht="19.399999999999999" customHeight="1" x14ac:dyDescent="0.3">
      <c r="A15" s="96" t="s">
        <v>66</v>
      </c>
      <c r="B15" s="95">
        <f>[5]Tafla!B15</f>
        <v>54946.5</v>
      </c>
      <c r="C15" s="95">
        <f>[5]Tafla!C15</f>
        <v>49946.5</v>
      </c>
      <c r="D15" s="95">
        <f>[5]Tafla!D15</f>
        <v>58406.9</v>
      </c>
    </row>
    <row r="16" spans="1:4" x14ac:dyDescent="0.3">
      <c r="A16" s="96" t="s">
        <v>465</v>
      </c>
      <c r="B16" s="95">
        <f>[5]Tafla!B16</f>
        <v>73567.400000000009</v>
      </c>
      <c r="C16" s="95">
        <f>[5]Tafla!C16</f>
        <v>86261.6</v>
      </c>
      <c r="D16" s="95">
        <f>[5]Tafla!D16</f>
        <v>89909.1</v>
      </c>
    </row>
    <row r="17" spans="1:4" x14ac:dyDescent="0.3">
      <c r="A17" s="3" t="s">
        <v>83</v>
      </c>
      <c r="B17" s="126">
        <f>B6-B12</f>
        <v>-57157.195299999788</v>
      </c>
      <c r="C17" s="126">
        <f t="shared" ref="C17:D17" si="1">C6-C12</f>
        <v>-45909.655308890389</v>
      </c>
      <c r="D17" s="126">
        <f t="shared" si="1"/>
        <v>-25979.730965801748</v>
      </c>
    </row>
    <row r="18" spans="1:4" x14ac:dyDescent="0.3">
      <c r="A18" s="186" t="s">
        <v>466</v>
      </c>
      <c r="B18" s="94"/>
      <c r="C18" s="187"/>
      <c r="D18" s="187"/>
    </row>
    <row r="19" spans="1:4" x14ac:dyDescent="0.3">
      <c r="A19" s="96" t="str">
        <f>[5]Tafla!A19</f>
        <v>Fjárfesting</v>
      </c>
      <c r="B19" s="95">
        <f>[5]Tafla!B19</f>
        <v>-69912.999999999898</v>
      </c>
      <c r="C19" s="95">
        <f>[5]Tafla!C19</f>
        <v>-73512.999999999898</v>
      </c>
      <c r="D19" s="95">
        <f>[5]Tafla!D19</f>
        <v>-86299.499999999884</v>
      </c>
    </row>
    <row r="20" spans="1:4" x14ac:dyDescent="0.3">
      <c r="A20" s="96" t="str">
        <f>[5]Tafla!A20</f>
        <v>Sala eigna</v>
      </c>
      <c r="B20" s="95">
        <f>[5]Tafla!B20</f>
        <v>99300</v>
      </c>
      <c r="C20" s="95">
        <f>[5]Tafla!C20</f>
        <v>94300</v>
      </c>
      <c r="D20" s="95">
        <f>[5]Tafla!D20</f>
        <v>800</v>
      </c>
    </row>
    <row r="21" spans="1:4" x14ac:dyDescent="0.3">
      <c r="A21" s="96" t="str">
        <f>[5]Tafla!A21</f>
        <v>Veitt löng lán</v>
      </c>
      <c r="B21" s="95">
        <f>[5]Tafla!B21</f>
        <v>-28850</v>
      </c>
      <c r="C21" s="95">
        <f>[5]Tafla!C21</f>
        <v>-39600</v>
      </c>
      <c r="D21" s="95">
        <f>[5]Tafla!D21</f>
        <v>-30850</v>
      </c>
    </row>
    <row r="22" spans="1:4" ht="1.75" customHeight="1" x14ac:dyDescent="0.3">
      <c r="A22" s="96" t="str">
        <f>[5]Tafla!A22</f>
        <v>Innheimtar afborganir af veittum lánum</v>
      </c>
      <c r="B22" s="95">
        <f>[5]Tafla!B22</f>
        <v>6731</v>
      </c>
      <c r="C22" s="95">
        <f>[5]Tafla!C22</f>
        <v>28195</v>
      </c>
      <c r="D22" s="95">
        <f>[5]Tafla!D22</f>
        <v>27675</v>
      </c>
    </row>
    <row r="23" spans="1:4" x14ac:dyDescent="0.3">
      <c r="A23" s="96" t="str">
        <f>[5]Tafla!A23</f>
        <v>Móttekinn arður</v>
      </c>
      <c r="B23" s="95">
        <f>[5]Tafla!B23</f>
        <v>42415.9</v>
      </c>
      <c r="C23" s="95">
        <f>[5]Tafla!C23</f>
        <v>53818</v>
      </c>
      <c r="D23" s="95">
        <f>[5]Tafla!D23</f>
        <v>56822</v>
      </c>
    </row>
    <row r="24" spans="1:4" x14ac:dyDescent="0.3">
      <c r="A24" s="96" t="str">
        <f>[5]Tafla!A24</f>
        <v>Fyrirframgreiðsla til LSR</v>
      </c>
      <c r="B24" s="95">
        <f>[5]Tafla!B24</f>
        <v>-10400</v>
      </c>
      <c r="C24" s="95">
        <f>[5]Tafla!C24</f>
        <v>-10400</v>
      </c>
      <c r="D24" s="95">
        <f>[5]Tafla!D24</f>
        <v>-10733</v>
      </c>
    </row>
    <row r="25" spans="1:4" x14ac:dyDescent="0.3">
      <c r="A25" s="96" t="str">
        <f>[5]Tafla!A25</f>
        <v>Eiginfjárframlög og hlutabréfakaup</v>
      </c>
      <c r="B25" s="95">
        <f>[5]Tafla!B25</f>
        <v>-1606</v>
      </c>
      <c r="C25" s="95">
        <f>[5]Tafla!C25</f>
        <v>18394</v>
      </c>
      <c r="D25" s="95">
        <f>[5]Tafla!D25</f>
        <v>-1606</v>
      </c>
    </row>
    <row r="26" spans="1:4" x14ac:dyDescent="0.3">
      <c r="A26" s="96" t="str">
        <f>[5]Tafla!A26</f>
        <v>Uppgjör ÍL-sjóðs, nettó</v>
      </c>
      <c r="B26" s="95">
        <f>[5]Tafla!B26</f>
        <v>0</v>
      </c>
      <c r="C26" s="95">
        <f>[5]Tafla!C26</f>
        <v>-268000</v>
      </c>
      <c r="D26" s="95">
        <f>[5]Tafla!D26</f>
        <v>0</v>
      </c>
    </row>
    <row r="27" spans="1:4" x14ac:dyDescent="0.3">
      <c r="A27" s="3" t="s">
        <v>86</v>
      </c>
      <c r="B27" s="126">
        <f>SUM(B19:B26)</f>
        <v>37677.900000000103</v>
      </c>
      <c r="C27" s="126">
        <f>SUM(C19:C26)</f>
        <v>-196805.99999999988</v>
      </c>
      <c r="D27" s="126">
        <f>SUM(D19:D26)</f>
        <v>-44191.499999999884</v>
      </c>
    </row>
    <row r="28" spans="1:4" x14ac:dyDescent="0.3">
      <c r="A28" s="3" t="s">
        <v>87</v>
      </c>
      <c r="B28" s="126">
        <f>B17+B27</f>
        <v>-19479.295299999685</v>
      </c>
      <c r="C28" s="126">
        <f>C17+C27</f>
        <v>-242715.65530889027</v>
      </c>
      <c r="D28" s="126">
        <f>D17+D27</f>
        <v>-70171.230965801631</v>
      </c>
    </row>
    <row r="29" spans="1:4" x14ac:dyDescent="0.3">
      <c r="A29" s="186" t="s">
        <v>88</v>
      </c>
      <c r="B29" s="94"/>
      <c r="C29" s="187"/>
      <c r="D29" s="187"/>
    </row>
    <row r="30" spans="1:4" x14ac:dyDescent="0.3">
      <c r="A30" s="96" t="s">
        <v>467</v>
      </c>
      <c r="B30" s="95">
        <f>[5]Tafla!B30</f>
        <v>0</v>
      </c>
      <c r="C30" s="94">
        <v>0</v>
      </c>
      <c r="D30" s="94">
        <v>0</v>
      </c>
    </row>
    <row r="31" spans="1:4" x14ac:dyDescent="0.3">
      <c r="A31" s="96" t="s">
        <v>89</v>
      </c>
      <c r="B31" s="94">
        <f>[5]Tafla!B32</f>
        <v>164668</v>
      </c>
      <c r="C31" s="94">
        <f>[5]Tafla!C32</f>
        <v>733456</v>
      </c>
      <c r="D31" s="94">
        <f>[5]Tafla!D32</f>
        <v>293474</v>
      </c>
    </row>
    <row r="32" spans="1:4" x14ac:dyDescent="0.3">
      <c r="A32" s="188" t="s">
        <v>90</v>
      </c>
      <c r="B32" s="94">
        <f>B31</f>
        <v>164668</v>
      </c>
      <c r="C32" s="94">
        <f>C31-108200</f>
        <v>625256</v>
      </c>
      <c r="D32" s="94">
        <f>D31</f>
        <v>293474</v>
      </c>
    </row>
    <row r="33" spans="1:4" x14ac:dyDescent="0.3">
      <c r="A33" s="96" t="s">
        <v>91</v>
      </c>
      <c r="B33" s="94">
        <f>[5]Tafla!B33</f>
        <v>-136423</v>
      </c>
      <c r="C33" s="94">
        <f>[5]Tafla!C33</f>
        <v>-433487</v>
      </c>
      <c r="D33" s="94">
        <f>[5]Tafla!D33</f>
        <v>-264082</v>
      </c>
    </row>
    <row r="34" spans="1:4" x14ac:dyDescent="0.3">
      <c r="A34" s="188" t="s">
        <v>92</v>
      </c>
      <c r="B34" s="94">
        <f>B33+6600</f>
        <v>-129823</v>
      </c>
      <c r="C34" s="94">
        <f>C33+36200</f>
        <v>-397287</v>
      </c>
      <c r="D34" s="94">
        <f>D33+63700</f>
        <v>-200382</v>
      </c>
    </row>
    <row r="35" spans="1:4" x14ac:dyDescent="0.3">
      <c r="A35" s="3" t="s">
        <v>93</v>
      </c>
      <c r="B35" s="126">
        <f>B31+B33</f>
        <v>28245</v>
      </c>
      <c r="C35" s="126">
        <f>C31+C33</f>
        <v>299969</v>
      </c>
      <c r="D35" s="126">
        <f>D31+D33</f>
        <v>29392</v>
      </c>
    </row>
    <row r="36" spans="1:4" x14ac:dyDescent="0.3">
      <c r="A36" s="3" t="s">
        <v>94</v>
      </c>
      <c r="B36" s="126">
        <f>B28+B35</f>
        <v>8765.7047000003149</v>
      </c>
      <c r="C36" s="126">
        <f>C28+C35</f>
        <v>57253.344691109727</v>
      </c>
      <c r="D36" s="126">
        <f>D28+D35</f>
        <v>-40779.230965801631</v>
      </c>
    </row>
    <row r="37" spans="1:4" x14ac:dyDescent="0.3">
      <c r="A37" s="101"/>
      <c r="B37" s="101"/>
      <c r="C37" s="101"/>
      <c r="D37" s="101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41B22-B5A3-4623-B7A0-0FCD49BFD5E6}">
  <sheetPr codeName="Sheet28"/>
  <dimension ref="A1:E25"/>
  <sheetViews>
    <sheetView topLeftCell="A2" workbookViewId="0">
      <selection activeCell="I18" sqref="I18"/>
    </sheetView>
  </sheetViews>
  <sheetFormatPr defaultColWidth="9.1796875" defaultRowHeight="13" x14ac:dyDescent="0.3"/>
  <cols>
    <col min="1" max="1" width="41.81640625" style="46" bestFit="1" customWidth="1"/>
    <col min="2" max="2" width="9.26953125" style="46" bestFit="1" customWidth="1"/>
    <col min="3" max="3" width="9.1796875" style="46" bestFit="1" customWidth="1"/>
    <col min="4" max="4" width="9.81640625" style="46" bestFit="1" customWidth="1"/>
    <col min="5" max="16384" width="9.1796875" style="46"/>
  </cols>
  <sheetData>
    <row r="1" spans="1:5" hidden="1" x14ac:dyDescent="0.3">
      <c r="A1" s="138"/>
      <c r="B1" s="139"/>
    </row>
    <row r="2" spans="1:5" ht="24" x14ac:dyDescent="0.3">
      <c r="A2" s="90" t="s">
        <v>96</v>
      </c>
      <c r="B2" s="134">
        <v>2023</v>
      </c>
      <c r="C2" s="134">
        <v>2024</v>
      </c>
      <c r="D2" s="134" t="s">
        <v>387</v>
      </c>
      <c r="E2" s="134" t="s">
        <v>386</v>
      </c>
    </row>
    <row r="3" spans="1:5" x14ac:dyDescent="0.3">
      <c r="A3" s="136"/>
      <c r="B3" s="136"/>
      <c r="C3" s="136"/>
      <c r="D3" s="136"/>
      <c r="E3" s="136"/>
    </row>
    <row r="4" spans="1:5" x14ac:dyDescent="0.3">
      <c r="A4" s="189" t="s">
        <v>95</v>
      </c>
      <c r="B4" s="190">
        <v>1659780.424707778</v>
      </c>
      <c r="C4" s="190">
        <v>1910327.9621054747</v>
      </c>
      <c r="D4" s="190">
        <v>2254454.4133122438</v>
      </c>
      <c r="E4" s="190">
        <v>2318152.161704334</v>
      </c>
    </row>
    <row r="5" spans="1:5" x14ac:dyDescent="0.3">
      <c r="A5" s="191" t="s">
        <v>97</v>
      </c>
      <c r="B5" s="192">
        <v>1092910.5881972911</v>
      </c>
      <c r="C5" s="192">
        <v>1265353.8745190003</v>
      </c>
      <c r="D5" s="192">
        <v>1767270.0208163152</v>
      </c>
      <c r="E5" s="192">
        <v>1893765.2262053685</v>
      </c>
    </row>
    <row r="6" spans="1:5" x14ac:dyDescent="0.3">
      <c r="A6" s="191" t="s">
        <v>98</v>
      </c>
      <c r="B6" s="192">
        <v>266615.04187923134</v>
      </c>
      <c r="C6" s="192">
        <v>268591.988563978</v>
      </c>
      <c r="D6" s="192">
        <v>29533.087493487139</v>
      </c>
      <c r="E6" s="192">
        <v>25996.341800229802</v>
      </c>
    </row>
    <row r="7" spans="1:5" x14ac:dyDescent="0.3">
      <c r="A7" s="191" t="s">
        <v>99</v>
      </c>
      <c r="B7" s="192">
        <v>265805.85676608002</v>
      </c>
      <c r="C7" s="192">
        <v>329369.47855215997</v>
      </c>
      <c r="D7" s="192">
        <v>401985.06666687713</v>
      </c>
      <c r="E7" s="192">
        <v>338351.98828130891</v>
      </c>
    </row>
    <row r="8" spans="1:5" x14ac:dyDescent="0.3">
      <c r="A8" s="191" t="s">
        <v>100</v>
      </c>
      <c r="B8" s="192">
        <v>34448.937865175576</v>
      </c>
      <c r="C8" s="192">
        <v>47012.620470336376</v>
      </c>
      <c r="D8" s="192">
        <v>55666.238335564471</v>
      </c>
      <c r="E8" s="192">
        <v>60038.605417426508</v>
      </c>
    </row>
    <row r="9" spans="1:5" ht="23" customHeight="1" x14ac:dyDescent="0.3">
      <c r="A9" s="189" t="s">
        <v>101</v>
      </c>
      <c r="B9" s="190">
        <v>181525.87306059134</v>
      </c>
      <c r="C9" s="190">
        <v>176618.15391940219</v>
      </c>
      <c r="D9" s="190">
        <v>595603.50815791253</v>
      </c>
      <c r="E9" s="190">
        <v>607596.43959052837</v>
      </c>
    </row>
    <row r="10" spans="1:5" x14ac:dyDescent="0.3">
      <c r="A10" s="191" t="s">
        <v>102</v>
      </c>
      <c r="B10" s="192">
        <v>101706.7039544181</v>
      </c>
      <c r="C10" s="192">
        <v>125533</v>
      </c>
      <c r="D10" s="192">
        <v>527503.16817738838</v>
      </c>
      <c r="E10" s="192">
        <v>545985.12165819423</v>
      </c>
    </row>
    <row r="11" spans="1:5" x14ac:dyDescent="0.3">
      <c r="A11" s="191" t="s">
        <v>103</v>
      </c>
      <c r="B11" s="192">
        <v>79819.169106173242</v>
      </c>
      <c r="C11" s="192">
        <v>51085.15391940219</v>
      </c>
      <c r="D11" s="192">
        <v>68100.33998052415</v>
      </c>
      <c r="E11" s="192">
        <v>61611.317932334139</v>
      </c>
    </row>
    <row r="12" spans="1:5" ht="25.5" customHeight="1" x14ac:dyDescent="0.3">
      <c r="A12" s="189" t="s">
        <v>104</v>
      </c>
      <c r="B12" s="190">
        <v>1478254.5516471867</v>
      </c>
      <c r="C12" s="190">
        <v>1733709.8081860724</v>
      </c>
      <c r="D12" s="190">
        <v>1658850.9051543311</v>
      </c>
      <c r="E12" s="190">
        <v>1710555.7221138056</v>
      </c>
    </row>
    <row r="13" spans="1:5" x14ac:dyDescent="0.3">
      <c r="A13" s="191" t="s">
        <v>105</v>
      </c>
      <c r="B13" s="192">
        <v>196703</v>
      </c>
      <c r="C13" s="192">
        <v>260157.99999999997</v>
      </c>
      <c r="D13" s="192">
        <v>290649.87070621998</v>
      </c>
      <c r="E13" s="192">
        <v>260500</v>
      </c>
    </row>
    <row r="14" spans="1:5" x14ac:dyDescent="0.3">
      <c r="A14" s="191" t="s">
        <v>106</v>
      </c>
      <c r="B14" s="192">
        <v>81732</v>
      </c>
      <c r="C14" s="192">
        <v>74278</v>
      </c>
      <c r="D14" s="192">
        <v>50000</v>
      </c>
      <c r="E14" s="192">
        <v>40000</v>
      </c>
    </row>
    <row r="15" spans="1:5" ht="24.5" customHeight="1" x14ac:dyDescent="0.3">
      <c r="A15" s="189" t="s">
        <v>107</v>
      </c>
      <c r="B15" s="190">
        <v>-1199819.5516471867</v>
      </c>
      <c r="C15" s="190">
        <v>-1399273.8081860724</v>
      </c>
      <c r="D15" s="190">
        <v>-1318201.0344481112</v>
      </c>
      <c r="E15" s="190">
        <v>-1410055.7221138056</v>
      </c>
    </row>
    <row r="16" spans="1:5" x14ac:dyDescent="0.3">
      <c r="A16" s="191" t="s">
        <v>108</v>
      </c>
      <c r="B16" s="192">
        <v>779223</v>
      </c>
      <c r="C16" s="192">
        <v>779224</v>
      </c>
      <c r="D16" s="192">
        <v>666530</v>
      </c>
      <c r="E16" s="192">
        <v>667336</v>
      </c>
    </row>
    <row r="17" spans="1:5" ht="24" customHeight="1" x14ac:dyDescent="0.3">
      <c r="A17" s="189" t="s">
        <v>109</v>
      </c>
      <c r="B17" s="190">
        <v>-420596.55164718674</v>
      </c>
      <c r="C17" s="190">
        <v>-620049.80818607239</v>
      </c>
      <c r="D17" s="190">
        <v>-651671.0344481112</v>
      </c>
      <c r="E17" s="190">
        <v>-742719.72211380559</v>
      </c>
    </row>
    <row r="18" spans="1:5" ht="20" customHeight="1" x14ac:dyDescent="0.3">
      <c r="A18" s="189" t="s">
        <v>110</v>
      </c>
      <c r="B18" s="190">
        <v>1346896.4868426025</v>
      </c>
      <c r="C18" s="190">
        <v>1528879.3416351383</v>
      </c>
      <c r="D18" s="190">
        <v>1858138.3042704596</v>
      </c>
      <c r="E18" s="190">
        <v>1957613.5562869073</v>
      </c>
    </row>
    <row r="19" spans="1:5" ht="5" customHeight="1" x14ac:dyDescent="0.3">
      <c r="A19" s="193"/>
      <c r="B19" s="194"/>
      <c r="C19" s="194"/>
      <c r="D19" s="194"/>
      <c r="E19" s="194"/>
    </row>
    <row r="20" spans="1:5" x14ac:dyDescent="0.3">
      <c r="A20" s="37" t="s">
        <v>111</v>
      </c>
      <c r="B20" s="195"/>
      <c r="C20" s="195"/>
      <c r="D20" s="195"/>
      <c r="E20" s="195"/>
    </row>
    <row r="21" spans="1:5" x14ac:dyDescent="0.3">
      <c r="A21" s="189" t="s">
        <v>95</v>
      </c>
      <c r="B21" s="196">
        <v>37.966432426428085</v>
      </c>
      <c r="C21" s="196">
        <v>41.543336659973207</v>
      </c>
      <c r="D21" s="196">
        <v>45.510662636378171</v>
      </c>
      <c r="E21" s="196">
        <v>44.3014826015214</v>
      </c>
    </row>
    <row r="22" spans="1:5" x14ac:dyDescent="0.3">
      <c r="A22" s="189" t="s">
        <v>101</v>
      </c>
      <c r="B22" s="196">
        <v>4.1522900804283758</v>
      </c>
      <c r="C22" s="196">
        <v>3.8408627073907518</v>
      </c>
      <c r="D22" s="196">
        <v>12.023445745790658</v>
      </c>
      <c r="E22" s="196">
        <v>11.611585961413388</v>
      </c>
    </row>
    <row r="23" spans="1:5" x14ac:dyDescent="0.3">
      <c r="A23" s="189" t="s">
        <v>109</v>
      </c>
      <c r="B23" s="196">
        <v>-9.6208813643003523</v>
      </c>
      <c r="C23" s="196">
        <v>-13.484039619582134</v>
      </c>
      <c r="D23" s="196">
        <v>-13.155280685003548</v>
      </c>
      <c r="E23" s="196">
        <v>-14.193884849577969</v>
      </c>
    </row>
    <row r="24" spans="1:5" x14ac:dyDescent="0.3">
      <c r="A24" s="189" t="s">
        <v>110</v>
      </c>
      <c r="B24" s="196">
        <v>30.809409300092355</v>
      </c>
      <c r="C24" s="196">
        <v>33.24808643434384</v>
      </c>
      <c r="D24" s="196">
        <v>37.510230855873317</v>
      </c>
      <c r="E24" s="196">
        <v>37.411341816572317</v>
      </c>
    </row>
    <row r="25" spans="1:5" ht="6.5" customHeight="1" x14ac:dyDescent="0.3">
      <c r="A25" s="193"/>
      <c r="B25" s="193"/>
      <c r="C25" s="193"/>
      <c r="D25" s="193"/>
      <c r="E25" s="193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9119A-0C8C-45EA-83D1-F4C6453791EF}">
  <sheetPr codeName="Sheet3"/>
  <dimension ref="A1:G44"/>
  <sheetViews>
    <sheetView topLeftCell="A2" workbookViewId="0">
      <selection activeCell="R11" sqref="R11"/>
    </sheetView>
  </sheetViews>
  <sheetFormatPr defaultColWidth="9.1796875" defaultRowHeight="12" x14ac:dyDescent="0.3"/>
  <cols>
    <col min="1" max="1" width="32.54296875" style="4" bestFit="1" customWidth="1"/>
    <col min="2" max="3" width="8.81640625" style="5" customWidth="1"/>
    <col min="4" max="4" width="8" style="5" bestFit="1" customWidth="1"/>
    <col min="5" max="6" width="8.81640625" style="5" customWidth="1"/>
    <col min="7" max="7" width="8" style="5" customWidth="1"/>
    <col min="8" max="16384" width="9.1796875" style="4"/>
  </cols>
  <sheetData>
    <row r="1" spans="1:7" hidden="1" x14ac:dyDescent="0.3"/>
    <row r="2" spans="1:7" ht="13" x14ac:dyDescent="0.3">
      <c r="A2" s="92"/>
      <c r="B2" s="197" t="s">
        <v>0</v>
      </c>
      <c r="C2" s="197"/>
      <c r="D2" s="92"/>
      <c r="E2" s="197" t="s">
        <v>1</v>
      </c>
      <c r="F2" s="197"/>
      <c r="G2" s="98"/>
    </row>
    <row r="3" spans="1:7" x14ac:dyDescent="0.3">
      <c r="A3" s="92"/>
      <c r="B3" s="92"/>
      <c r="C3" s="92"/>
      <c r="D3" s="92"/>
      <c r="E3" s="92"/>
      <c r="F3" s="92"/>
      <c r="G3" s="92"/>
    </row>
    <row r="4" spans="1:7" ht="24" x14ac:dyDescent="0.3">
      <c r="A4" s="99" t="s">
        <v>2</v>
      </c>
      <c r="B4" s="100" t="s">
        <v>364</v>
      </c>
      <c r="C4" s="100" t="s">
        <v>365</v>
      </c>
      <c r="D4" s="100" t="s">
        <v>3</v>
      </c>
      <c r="E4" s="100" t="s">
        <v>364</v>
      </c>
      <c r="F4" s="100" t="s">
        <v>365</v>
      </c>
      <c r="G4" s="100" t="s">
        <v>3</v>
      </c>
    </row>
    <row r="5" spans="1:7" x14ac:dyDescent="0.3">
      <c r="A5" s="101"/>
      <c r="B5" s="101"/>
      <c r="C5" s="101"/>
      <c r="D5" s="101"/>
      <c r="E5" s="101"/>
      <c r="F5" s="101"/>
      <c r="G5" s="101"/>
    </row>
    <row r="6" spans="1:7" x14ac:dyDescent="0.3">
      <c r="A6" s="3" t="s">
        <v>10</v>
      </c>
      <c r="B6" s="102">
        <v>1420.6259000000002</v>
      </c>
      <c r="C6" s="102">
        <v>1591.2462245560139</v>
      </c>
      <c r="D6" s="102">
        <v>170.62032455601366</v>
      </c>
      <c r="E6" s="103">
        <v>0.293343741759795</v>
      </c>
      <c r="F6" s="103">
        <v>0.3040981006185392</v>
      </c>
      <c r="G6" s="103">
        <v>1.0754358858744206E-2</v>
      </c>
    </row>
    <row r="7" spans="1:7" s="11" customFormat="1" x14ac:dyDescent="0.3">
      <c r="A7" s="104" t="s">
        <v>13</v>
      </c>
      <c r="B7" s="102">
        <v>1120.1643000000001</v>
      </c>
      <c r="C7" s="102">
        <v>1236.6088389420856</v>
      </c>
      <c r="D7" s="102">
        <v>116.4445389420855</v>
      </c>
      <c r="E7" s="103">
        <v>0.23130170099513286</v>
      </c>
      <c r="F7" s="103">
        <v>0.23632445647141129</v>
      </c>
      <c r="G7" s="103">
        <v>5.0227554762784232E-3</v>
      </c>
    </row>
    <row r="8" spans="1:7" x14ac:dyDescent="0.3">
      <c r="A8" s="105" t="s">
        <v>14</v>
      </c>
      <c r="B8" s="106">
        <v>506.8</v>
      </c>
      <c r="C8" s="106">
        <v>549.5</v>
      </c>
      <c r="D8" s="106">
        <v>42.699999999999989</v>
      </c>
      <c r="E8" s="107">
        <v>0.10464866811443047</v>
      </c>
      <c r="F8" s="107">
        <v>0.10501323032927333</v>
      </c>
      <c r="G8" s="107">
        <v>3.6456221484286455E-4</v>
      </c>
    </row>
    <row r="9" spans="1:7" x14ac:dyDescent="0.3">
      <c r="A9" s="105" t="s">
        <v>15</v>
      </c>
      <c r="B9" s="106">
        <v>12.949</v>
      </c>
      <c r="C9" s="106">
        <v>13.926</v>
      </c>
      <c r="D9" s="106">
        <v>0.97700000000000031</v>
      </c>
      <c r="E9" s="107">
        <v>2.6738271574857147E-3</v>
      </c>
      <c r="F9" s="107">
        <v>2.6613544050326848E-3</v>
      </c>
      <c r="G9" s="107">
        <v>-1.2472752453029923E-5</v>
      </c>
    </row>
    <row r="10" spans="1:7" s="11" customFormat="1" x14ac:dyDescent="0.3">
      <c r="A10" s="105" t="s">
        <v>16</v>
      </c>
      <c r="B10" s="106">
        <v>12.127000000000001</v>
      </c>
      <c r="C10" s="106">
        <v>14.327</v>
      </c>
      <c r="D10" s="106">
        <v>2.1999999999999993</v>
      </c>
      <c r="E10" s="107">
        <v>2.504093129881015E-3</v>
      </c>
      <c r="F10" s="107">
        <v>2.7379882637443113E-3</v>
      </c>
      <c r="G10" s="107">
        <v>2.3389513386329634E-4</v>
      </c>
    </row>
    <row r="11" spans="1:7" x14ac:dyDescent="0.3">
      <c r="A11" s="105" t="s">
        <v>17</v>
      </c>
      <c r="B11" s="106">
        <v>563.75840000000005</v>
      </c>
      <c r="C11" s="106">
        <v>632.18663894208578</v>
      </c>
      <c r="D11" s="106">
        <v>68.428238942085727</v>
      </c>
      <c r="E11" s="107">
        <v>0.11640995599511117</v>
      </c>
      <c r="F11" s="107">
        <v>0.12081521588046298</v>
      </c>
      <c r="G11" s="107">
        <v>4.4052598853518143E-3</v>
      </c>
    </row>
    <row r="12" spans="1:7" x14ac:dyDescent="0.3">
      <c r="A12" s="105" t="s">
        <v>18</v>
      </c>
      <c r="B12" s="106">
        <v>6.4198000000000004</v>
      </c>
      <c r="C12" s="106">
        <v>7.1703999999999999</v>
      </c>
      <c r="D12" s="106">
        <v>0.75059999999999949</v>
      </c>
      <c r="E12" s="107">
        <v>1.3256186258110117E-3</v>
      </c>
      <c r="F12" s="107">
        <v>1.3703127693412583E-3</v>
      </c>
      <c r="G12" s="107">
        <v>4.4694143530246569E-5</v>
      </c>
    </row>
    <row r="13" spans="1:7" s="11" customFormat="1" x14ac:dyDescent="0.3">
      <c r="A13" s="105" t="s">
        <v>19</v>
      </c>
      <c r="B13" s="106">
        <v>18.110099999999999</v>
      </c>
      <c r="C13" s="106">
        <v>19.498799999999999</v>
      </c>
      <c r="D13" s="106">
        <v>1.3887</v>
      </c>
      <c r="E13" s="107">
        <v>3.7395379724134712E-3</v>
      </c>
      <c r="F13" s="107">
        <v>3.7263548235567513E-3</v>
      </c>
      <c r="G13" s="107">
        <v>-1.3183148856719864E-5</v>
      </c>
    </row>
    <row r="14" spans="1:7" x14ac:dyDescent="0.3">
      <c r="A14" s="104" t="s">
        <v>20</v>
      </c>
      <c r="B14" s="102">
        <v>148.59</v>
      </c>
      <c r="C14" s="102">
        <v>159.923</v>
      </c>
      <c r="D14" s="102">
        <v>11.332999999999998</v>
      </c>
      <c r="E14" s="103">
        <v>3.0682213092192628E-2</v>
      </c>
      <c r="F14" s="103">
        <v>3.0562385503090771E-2</v>
      </c>
      <c r="G14" s="103">
        <v>-1.1982758910185701E-4</v>
      </c>
    </row>
    <row r="15" spans="1:7" x14ac:dyDescent="0.3">
      <c r="A15" s="104" t="s">
        <v>21</v>
      </c>
      <c r="B15" s="102">
        <v>7.4522999999999993</v>
      </c>
      <c r="C15" s="102">
        <v>8.0850000000000009</v>
      </c>
      <c r="D15" s="102">
        <v>0.63270000000000159</v>
      </c>
      <c r="E15" s="103">
        <v>1.5388186057402726E-3</v>
      </c>
      <c r="F15" s="103">
        <v>1.5450991214052321E-3</v>
      </c>
      <c r="G15" s="103">
        <v>6.2805156649595184E-6</v>
      </c>
    </row>
    <row r="16" spans="1:7" x14ac:dyDescent="0.3">
      <c r="A16" s="105" t="s">
        <v>316</v>
      </c>
      <c r="B16" s="106">
        <v>4.0505000000000004</v>
      </c>
      <c r="C16" s="106">
        <v>4.4291</v>
      </c>
      <c r="D16" s="106">
        <v>0.3785999999999996</v>
      </c>
      <c r="E16" s="107">
        <v>8.3638403748520257E-4</v>
      </c>
      <c r="F16" s="107">
        <v>8.4643148034828852E-4</v>
      </c>
      <c r="G16" s="107">
        <v>1.0047442863085946E-5</v>
      </c>
    </row>
    <row r="17" spans="1:7" x14ac:dyDescent="0.3">
      <c r="A17" s="105" t="s">
        <v>317</v>
      </c>
      <c r="B17" s="106">
        <v>0</v>
      </c>
      <c r="C17" s="106">
        <v>0</v>
      </c>
      <c r="D17" s="106">
        <v>0</v>
      </c>
      <c r="E17" s="107">
        <v>0</v>
      </c>
      <c r="F17" s="107">
        <v>0</v>
      </c>
      <c r="G17" s="107">
        <v>0</v>
      </c>
    </row>
    <row r="18" spans="1:7" x14ac:dyDescent="0.3">
      <c r="A18" s="105" t="s">
        <v>318</v>
      </c>
      <c r="B18" s="106">
        <v>3.4017999999999997</v>
      </c>
      <c r="C18" s="106">
        <v>3.6558999999999999</v>
      </c>
      <c r="D18" s="106">
        <v>0.25410000000000021</v>
      </c>
      <c r="E18" s="107">
        <v>7.0243456825507011E-4</v>
      </c>
      <c r="F18" s="107">
        <v>6.9866764105694335E-4</v>
      </c>
      <c r="G18" s="107">
        <v>-3.7669271981267526E-6</v>
      </c>
    </row>
    <row r="19" spans="1:7" x14ac:dyDescent="0.3">
      <c r="A19" s="104" t="s">
        <v>22</v>
      </c>
      <c r="B19" s="102">
        <v>144.41930000000005</v>
      </c>
      <c r="C19" s="102">
        <v>186.62938561392835</v>
      </c>
      <c r="D19" s="102">
        <v>42.2100856139283</v>
      </c>
      <c r="E19" s="103">
        <v>2.9821009066729229E-2</v>
      </c>
      <c r="F19" s="103">
        <v>3.5666159522631899E-2</v>
      </c>
      <c r="G19" s="103">
        <v>5.8451504559026701E-3</v>
      </c>
    </row>
    <row r="20" spans="1:7" x14ac:dyDescent="0.3">
      <c r="A20" s="105" t="s">
        <v>23</v>
      </c>
      <c r="B20" s="106">
        <v>94.622899999999987</v>
      </c>
      <c r="C20" s="106">
        <v>132.97758561392837</v>
      </c>
      <c r="D20" s="106">
        <v>38.354685613928382</v>
      </c>
      <c r="E20" s="107">
        <v>1.9538596010506989E-2</v>
      </c>
      <c r="F20" s="107">
        <v>2.5412931440775471E-2</v>
      </c>
      <c r="G20" s="107">
        <v>5.8743354302684819E-3</v>
      </c>
    </row>
    <row r="21" spans="1:7" x14ac:dyDescent="0.3">
      <c r="A21" s="108" t="s">
        <v>24</v>
      </c>
      <c r="B21" s="106">
        <v>39.604300000000002</v>
      </c>
      <c r="C21" s="106">
        <v>51.909185613928379</v>
      </c>
      <c r="D21" s="106">
        <v>12.304885613928377</v>
      </c>
      <c r="E21" s="107">
        <v>8.1778556562832252E-3</v>
      </c>
      <c r="F21" s="107">
        <v>9.920202484222861E-3</v>
      </c>
      <c r="G21" s="107">
        <v>1.7423468279396358E-3</v>
      </c>
    </row>
    <row r="22" spans="1:7" x14ac:dyDescent="0.3">
      <c r="A22" s="108" t="s">
        <v>25</v>
      </c>
      <c r="B22" s="106">
        <v>42.415900000000001</v>
      </c>
      <c r="C22" s="106">
        <v>56.822000000000003</v>
      </c>
      <c r="D22" s="106">
        <v>14.406100000000002</v>
      </c>
      <c r="E22" s="107">
        <v>8.7584203667617835E-3</v>
      </c>
      <c r="F22" s="107">
        <v>1.0859075111501309E-2</v>
      </c>
      <c r="G22" s="107">
        <v>2.1006547447395257E-3</v>
      </c>
    </row>
    <row r="23" spans="1:7" x14ac:dyDescent="0.3">
      <c r="A23" s="105" t="s">
        <v>26</v>
      </c>
      <c r="B23" s="106">
        <v>43.128499999999988</v>
      </c>
      <c r="C23" s="106">
        <v>45.948200000000007</v>
      </c>
      <c r="D23" s="106">
        <v>2.8197000000000187</v>
      </c>
      <c r="E23" s="107">
        <v>8.9055644885027881E-3</v>
      </c>
      <c r="F23" s="107">
        <v>8.7810171243230522E-3</v>
      </c>
      <c r="G23" s="107">
        <v>-1.2454736417973587E-4</v>
      </c>
    </row>
    <row r="24" spans="1:7" x14ac:dyDescent="0.3">
      <c r="A24" s="105" t="s">
        <v>27</v>
      </c>
      <c r="B24" s="106">
        <v>6.667900000000067</v>
      </c>
      <c r="C24" s="106">
        <v>7.7035999999999767</v>
      </c>
      <c r="D24" s="106">
        <v>1.0356999999999097</v>
      </c>
      <c r="E24" s="107">
        <v>1.3768485677194513E-3</v>
      </c>
      <c r="F24" s="107">
        <v>1.4722109575333714E-3</v>
      </c>
      <c r="G24" s="107">
        <v>9.536238981392017E-5</v>
      </c>
    </row>
    <row r="25" spans="1:7" x14ac:dyDescent="0.3">
      <c r="A25" s="3" t="s">
        <v>11</v>
      </c>
      <c r="B25" s="102">
        <v>1483.2279373066744</v>
      </c>
      <c r="C25" s="102">
        <v>1606.5828607674764</v>
      </c>
      <c r="D25" s="102">
        <v>123.35492346080196</v>
      </c>
      <c r="E25" s="103">
        <v>0.30627037914218125</v>
      </c>
      <c r="F25" s="103">
        <v>0.30702903730816722</v>
      </c>
      <c r="G25" s="103">
        <v>7.5865816598597036E-4</v>
      </c>
    </row>
    <row r="26" spans="1:7" x14ac:dyDescent="0.3">
      <c r="A26" s="104" t="s">
        <v>28</v>
      </c>
      <c r="B26" s="102">
        <v>1462.6022342433505</v>
      </c>
      <c r="C26" s="102">
        <v>1590.1481892463598</v>
      </c>
      <c r="D26" s="102">
        <v>127.54595500300934</v>
      </c>
      <c r="E26" s="103">
        <v>0.30201139659581072</v>
      </c>
      <c r="F26" s="103">
        <v>0.30388825851684237</v>
      </c>
      <c r="G26" s="103">
        <v>1.8768619210316473E-3</v>
      </c>
    </row>
    <row r="27" spans="1:7" x14ac:dyDescent="0.3">
      <c r="A27" s="105" t="s">
        <v>29</v>
      </c>
      <c r="B27" s="106">
        <v>325.77468589268216</v>
      </c>
      <c r="C27" s="106">
        <v>352.53666518013074</v>
      </c>
      <c r="D27" s="106">
        <v>26.761979287448582</v>
      </c>
      <c r="E27" s="107">
        <v>6.7268916700998674E-2</v>
      </c>
      <c r="F27" s="107">
        <v>6.7372182020154658E-2</v>
      </c>
      <c r="G27" s="107">
        <v>1.0326531915598458E-4</v>
      </c>
    </row>
    <row r="28" spans="1:7" x14ac:dyDescent="0.3">
      <c r="A28" s="105" t="s">
        <v>30</v>
      </c>
      <c r="B28" s="106">
        <v>235.49644177317046</v>
      </c>
      <c r="C28" s="106">
        <v>244.7830636950325</v>
      </c>
      <c r="D28" s="106">
        <v>9.2866219218620358</v>
      </c>
      <c r="E28" s="107">
        <v>4.862744470649135E-2</v>
      </c>
      <c r="F28" s="107">
        <v>4.6779727476818259E-2</v>
      </c>
      <c r="G28" s="107">
        <v>-1.8477172296730918E-3</v>
      </c>
    </row>
    <row r="29" spans="1:7" x14ac:dyDescent="0.3">
      <c r="A29" s="105" t="s">
        <v>31</v>
      </c>
      <c r="B29" s="106">
        <v>74.79877820582368</v>
      </c>
      <c r="C29" s="106">
        <v>97.745994003719687</v>
      </c>
      <c r="D29" s="106">
        <v>22.947215797896007</v>
      </c>
      <c r="E29" s="107">
        <v>1.5445131246697191E-2</v>
      </c>
      <c r="F29" s="107">
        <v>1.8679931905507527E-2</v>
      </c>
      <c r="G29" s="107">
        <v>3.2348006588103356E-3</v>
      </c>
    </row>
    <row r="30" spans="1:7" x14ac:dyDescent="0.3">
      <c r="A30" s="105" t="s">
        <v>8</v>
      </c>
      <c r="B30" s="106">
        <v>120.14962837167408</v>
      </c>
      <c r="C30" s="106">
        <v>144.25936636747679</v>
      </c>
      <c r="D30" s="106">
        <v>24.109737995802703</v>
      </c>
      <c r="E30" s="107">
        <v>2.4809586786778769E-2</v>
      </c>
      <c r="F30" s="107">
        <v>2.7568957356693114E-2</v>
      </c>
      <c r="G30" s="107">
        <v>2.7593705699143455E-3</v>
      </c>
    </row>
    <row r="31" spans="1:7" x14ac:dyDescent="0.3">
      <c r="A31" s="105" t="s">
        <v>32</v>
      </c>
      <c r="B31" s="106">
        <v>71.850999999999971</v>
      </c>
      <c r="C31" s="106">
        <v>71.591000000000008</v>
      </c>
      <c r="D31" s="106">
        <v>-0.25999999999996248</v>
      </c>
      <c r="E31" s="107">
        <v>1.4836447223145107E-2</v>
      </c>
      <c r="F31" s="107">
        <v>1.3681532616020033E-2</v>
      </c>
      <c r="G31" s="107">
        <v>-1.1549146071250741E-3</v>
      </c>
    </row>
    <row r="32" spans="1:7" x14ac:dyDescent="0.3">
      <c r="A32" s="105" t="s">
        <v>21</v>
      </c>
      <c r="B32" s="106">
        <v>508.72072972929237</v>
      </c>
      <c r="C32" s="106">
        <v>567.82586085639946</v>
      </c>
      <c r="D32" s="106">
        <v>59.105131127107086</v>
      </c>
      <c r="E32" s="107">
        <v>0.10504527783814444</v>
      </c>
      <c r="F32" s="107">
        <v>0.1085154284131592</v>
      </c>
      <c r="G32" s="107">
        <v>3.4701505750147632E-3</v>
      </c>
    </row>
    <row r="33" spans="1:7" x14ac:dyDescent="0.3">
      <c r="A33" s="108" t="s">
        <v>319</v>
      </c>
      <c r="B33" s="106">
        <v>16.379000000000001</v>
      </c>
      <c r="C33" s="106">
        <v>18.273799999999998</v>
      </c>
      <c r="D33" s="106">
        <v>1.8947999999999965</v>
      </c>
      <c r="E33" s="107">
        <v>3.3820847179286836E-3</v>
      </c>
      <c r="F33" s="107">
        <v>3.49224889607111E-3</v>
      </c>
      <c r="G33" s="107">
        <v>1.1016417814242643E-4</v>
      </c>
    </row>
    <row r="34" spans="1:7" x14ac:dyDescent="0.3">
      <c r="A34" s="108" t="s">
        <v>320</v>
      </c>
      <c r="B34" s="106">
        <v>437.7174</v>
      </c>
      <c r="C34" s="106">
        <v>477.40010000000007</v>
      </c>
      <c r="D34" s="106">
        <v>39.682700000000068</v>
      </c>
      <c r="E34" s="107">
        <v>9.0383865273305858E-2</v>
      </c>
      <c r="F34" s="107">
        <v>9.1234443422234995E-2</v>
      </c>
      <c r="G34" s="107">
        <v>8.5057814892913752E-4</v>
      </c>
    </row>
    <row r="35" spans="1:7" x14ac:dyDescent="0.3">
      <c r="A35" s="108" t="s">
        <v>321</v>
      </c>
      <c r="B35" s="106">
        <v>54.62432972929237</v>
      </c>
      <c r="C35" s="106">
        <v>72.15196085639927</v>
      </c>
      <c r="D35" s="106">
        <v>17.527631127106901</v>
      </c>
      <c r="E35" s="107">
        <v>1.1279327846909895E-2</v>
      </c>
      <c r="F35" s="107">
        <v>1.3788736094853083E-2</v>
      </c>
      <c r="G35" s="107">
        <v>2.509408247943188E-3</v>
      </c>
    </row>
    <row r="36" spans="1:7" x14ac:dyDescent="0.3">
      <c r="A36" s="105" t="s">
        <v>33</v>
      </c>
      <c r="B36" s="106">
        <v>36.4758</v>
      </c>
      <c r="C36" s="106">
        <v>34.687899999999999</v>
      </c>
      <c r="D36" s="106">
        <v>-1.7879000000000005</v>
      </c>
      <c r="E36" s="107">
        <v>7.5318545548704484E-3</v>
      </c>
      <c r="F36" s="107">
        <v>6.6290963281870801E-3</v>
      </c>
      <c r="G36" s="107">
        <v>-9.0275822668336829E-4</v>
      </c>
    </row>
    <row r="37" spans="1:7" x14ac:dyDescent="0.3">
      <c r="A37" s="105" t="s">
        <v>34</v>
      </c>
      <c r="B37" s="106">
        <v>89.335170270707607</v>
      </c>
      <c r="C37" s="106">
        <v>76.718339143600716</v>
      </c>
      <c r="D37" s="106">
        <v>-12.616831127106892</v>
      </c>
      <c r="E37" s="107">
        <v>1.844673753868472E-2</v>
      </c>
      <c r="F37" s="107">
        <v>1.4661402400302545E-2</v>
      </c>
      <c r="G37" s="107">
        <v>-3.7853351383821746E-3</v>
      </c>
    </row>
    <row r="38" spans="1:7" x14ac:dyDescent="0.3">
      <c r="A38" s="104" t="s">
        <v>35</v>
      </c>
      <c r="B38" s="102">
        <v>20.625703063323861</v>
      </c>
      <c r="C38" s="102">
        <v>16.434671521116847</v>
      </c>
      <c r="D38" s="102">
        <v>-4.1910315422070141</v>
      </c>
      <c r="E38" s="103">
        <v>4.2589825463705024E-3</v>
      </c>
      <c r="F38" s="103">
        <v>3.1407787913248272E-3</v>
      </c>
      <c r="G38" s="103">
        <v>-1.1182037550456752E-3</v>
      </c>
    </row>
    <row r="39" spans="1:7" x14ac:dyDescent="0.3">
      <c r="A39" s="105" t="s">
        <v>36</v>
      </c>
      <c r="B39" s="106">
        <v>95.424481269147535</v>
      </c>
      <c r="C39" s="106">
        <v>114.18066552483654</v>
      </c>
      <c r="D39" s="106">
        <v>18.756184255689007</v>
      </c>
      <c r="E39" s="107">
        <v>1.9704113793067694E-2</v>
      </c>
      <c r="F39" s="107">
        <v>2.1820710696832356E-2</v>
      </c>
      <c r="G39" s="107">
        <v>2.1165969037646622E-3</v>
      </c>
    </row>
    <row r="40" spans="1:7" x14ac:dyDescent="0.3">
      <c r="A40" s="105" t="s">
        <v>37</v>
      </c>
      <c r="B40" s="106">
        <v>-74.79877820582368</v>
      </c>
      <c r="C40" s="106">
        <v>-97.745994003719687</v>
      </c>
      <c r="D40" s="106">
        <v>-22.947215797896007</v>
      </c>
      <c r="E40" s="107">
        <v>-1.5445131246697191E-2</v>
      </c>
      <c r="F40" s="107">
        <v>-1.8679931905507527E-2</v>
      </c>
      <c r="G40" s="107">
        <v>-3.2348006588103356E-3</v>
      </c>
    </row>
    <row r="41" spans="1:7" x14ac:dyDescent="0.3">
      <c r="A41" s="3" t="s">
        <v>6</v>
      </c>
      <c r="B41" s="102">
        <v>17.943291064999869</v>
      </c>
      <c r="C41" s="102">
        <v>77.013544542085896</v>
      </c>
      <c r="D41" s="102">
        <v>59.070253477086027</v>
      </c>
      <c r="E41" s="103">
        <v>3.7050937481093076E-3</v>
      </c>
      <c r="F41" s="103">
        <v>1.4717818182842251E-2</v>
      </c>
      <c r="G41" s="103">
        <v>1.1012724434732942E-2</v>
      </c>
    </row>
    <row r="42" spans="1:7" x14ac:dyDescent="0.3">
      <c r="A42" s="3" t="s">
        <v>9</v>
      </c>
      <c r="B42" s="102">
        <v>-80.545328371674088</v>
      </c>
      <c r="C42" s="102">
        <v>-92.350180753548415</v>
      </c>
      <c r="D42" s="102">
        <v>-11.804852381874326</v>
      </c>
      <c r="E42" s="103">
        <v>-1.6631731130495545E-2</v>
      </c>
      <c r="F42" s="103">
        <v>-1.7648754872470255E-2</v>
      </c>
      <c r="G42" s="103">
        <v>-1.0170237419747097E-3</v>
      </c>
    </row>
    <row r="43" spans="1:7" x14ac:dyDescent="0.3">
      <c r="A43" s="3" t="s">
        <v>12</v>
      </c>
      <c r="B43" s="102">
        <v>-62.60203730667422</v>
      </c>
      <c r="C43" s="102">
        <v>-15.336636211462519</v>
      </c>
      <c r="D43" s="102">
        <v>47.265401095211701</v>
      </c>
      <c r="E43" s="103">
        <v>-1.2926637382386237E-2</v>
      </c>
      <c r="F43" s="103">
        <v>-2.9309366896280026E-3</v>
      </c>
      <c r="G43" s="103">
        <v>9.9957006927582342E-3</v>
      </c>
    </row>
    <row r="44" spans="1:7" ht="5.5" customHeight="1" x14ac:dyDescent="0.3">
      <c r="A44" s="101"/>
      <c r="B44" s="101"/>
      <c r="C44" s="101"/>
      <c r="D44" s="101"/>
      <c r="E44" s="101"/>
      <c r="F44" s="101"/>
      <c r="G44" s="101"/>
    </row>
  </sheetData>
  <mergeCells count="2">
    <mergeCell ref="B2:C2"/>
    <mergeCell ref="E2:F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5D668-C5F2-4BAD-925D-9A853DA81C4B}">
  <sheetPr codeName="Sheet29"/>
  <dimension ref="A1:D11"/>
  <sheetViews>
    <sheetView tabSelected="1" workbookViewId="0">
      <selection activeCell="D12" sqref="D12"/>
    </sheetView>
  </sheetViews>
  <sheetFormatPr defaultColWidth="9.1796875" defaultRowHeight="13" x14ac:dyDescent="0.3"/>
  <cols>
    <col min="1" max="1" width="54" style="46" customWidth="1"/>
    <col min="2" max="3" width="8.1796875" style="46" customWidth="1"/>
    <col min="4" max="4" width="8.1796875" style="46" bestFit="1" customWidth="1"/>
    <col min="5" max="16384" width="9.1796875" style="46"/>
  </cols>
  <sheetData>
    <row r="1" spans="1:4" x14ac:dyDescent="0.3">
      <c r="A1" s="99"/>
      <c r="B1" s="140">
        <v>2025</v>
      </c>
      <c r="C1" s="140">
        <v>2025</v>
      </c>
      <c r="D1" s="140">
        <v>2026</v>
      </c>
    </row>
    <row r="2" spans="1:4" x14ac:dyDescent="0.3">
      <c r="A2" s="90" t="s">
        <v>468</v>
      </c>
      <c r="B2" s="91" t="s">
        <v>112</v>
      </c>
      <c r="C2" s="91" t="s">
        <v>113</v>
      </c>
      <c r="D2" s="91" t="s">
        <v>112</v>
      </c>
    </row>
    <row r="3" spans="1:4" ht="5.5" customHeight="1" x14ac:dyDescent="0.3">
      <c r="A3" s="92"/>
      <c r="B3" s="92"/>
      <c r="C3" s="92"/>
      <c r="D3" s="92"/>
    </row>
    <row r="4" spans="1:4" x14ac:dyDescent="0.3">
      <c r="A4" s="93" t="s">
        <v>114</v>
      </c>
      <c r="B4" s="95">
        <v>7</v>
      </c>
      <c r="C4" s="95">
        <v>7</v>
      </c>
      <c r="D4" s="95">
        <v>2.2999999999999998</v>
      </c>
    </row>
    <row r="5" spans="1:4" x14ac:dyDescent="0.3">
      <c r="A5" s="93" t="s">
        <v>115</v>
      </c>
      <c r="B5" s="95">
        <v>5</v>
      </c>
      <c r="C5" s="95">
        <v>5</v>
      </c>
      <c r="D5" s="95">
        <v>5</v>
      </c>
    </row>
    <row r="6" spans="1:4" x14ac:dyDescent="0.3">
      <c r="A6" s="93" t="s">
        <v>238</v>
      </c>
      <c r="B6" s="95">
        <v>2</v>
      </c>
      <c r="C6" s="95">
        <v>0</v>
      </c>
      <c r="D6" s="95">
        <v>2</v>
      </c>
    </row>
    <row r="7" spans="1:4" x14ac:dyDescent="0.3">
      <c r="A7" s="93" t="s">
        <v>327</v>
      </c>
      <c r="B7" s="95">
        <v>1.5</v>
      </c>
      <c r="C7" s="95">
        <v>0</v>
      </c>
      <c r="D7" s="95">
        <v>1.5</v>
      </c>
    </row>
    <row r="8" spans="1:4" x14ac:dyDescent="0.3">
      <c r="A8" s="93" t="s">
        <v>117</v>
      </c>
      <c r="B8" s="95">
        <v>20</v>
      </c>
      <c r="C8" s="95">
        <v>19</v>
      </c>
      <c r="D8" s="95">
        <v>20</v>
      </c>
    </row>
    <row r="9" spans="1:4" x14ac:dyDescent="0.3">
      <c r="A9" s="93" t="s">
        <v>118</v>
      </c>
      <c r="B9" s="95">
        <v>10</v>
      </c>
      <c r="C9" s="95">
        <v>8.6</v>
      </c>
      <c r="D9" s="95">
        <v>8.6</v>
      </c>
    </row>
    <row r="10" spans="1:4" s="49" customFormat="1" ht="12" x14ac:dyDescent="0.3">
      <c r="A10" s="3" t="s">
        <v>119</v>
      </c>
      <c r="B10" s="135">
        <f>SUM(B4:B9)</f>
        <v>45.5</v>
      </c>
      <c r="C10" s="135">
        <f t="shared" ref="C10:D10" si="0">SUM(C4:C9)</f>
        <v>39.6</v>
      </c>
      <c r="D10" s="135">
        <f t="shared" si="0"/>
        <v>39.4</v>
      </c>
    </row>
    <row r="11" spans="1:4" ht="3.65" customHeight="1" x14ac:dyDescent="0.3">
      <c r="A11" s="101"/>
      <c r="B11" s="101"/>
      <c r="C11" s="101"/>
      <c r="D11" s="10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69E05-5BCF-48C8-B40A-317439C0B5D0}">
  <dimension ref="A1:C19"/>
  <sheetViews>
    <sheetView workbookViewId="0">
      <selection activeCell="G29" sqref="G29"/>
    </sheetView>
  </sheetViews>
  <sheetFormatPr defaultRowHeight="14.5" x14ac:dyDescent="0.35"/>
  <cols>
    <col min="1" max="1" width="39.54296875" bestFit="1" customWidth="1"/>
  </cols>
  <sheetData>
    <row r="1" spans="1:3" x14ac:dyDescent="0.35">
      <c r="A1" s="92"/>
      <c r="B1" s="113"/>
      <c r="C1" s="113"/>
    </row>
    <row r="2" spans="1:3" ht="24.5" x14ac:dyDescent="0.35">
      <c r="A2" s="99" t="s">
        <v>366</v>
      </c>
      <c r="B2" s="100" t="s">
        <v>364</v>
      </c>
      <c r="C2" s="100" t="s">
        <v>367</v>
      </c>
    </row>
    <row r="3" spans="1:3" x14ac:dyDescent="0.35">
      <c r="A3" s="137"/>
      <c r="B3" s="162"/>
      <c r="C3" s="162"/>
    </row>
    <row r="4" spans="1:3" x14ac:dyDescent="0.35">
      <c r="A4" s="3" t="s">
        <v>368</v>
      </c>
      <c r="B4" s="118">
        <f>+[1]Stöðugleikaregla!B4</f>
        <v>1545.6395</v>
      </c>
      <c r="C4" s="118">
        <f>+[1]Stöðugleikaregla!C4</f>
        <v>1628.6646999999996</v>
      </c>
    </row>
    <row r="5" spans="1:3" x14ac:dyDescent="0.35">
      <c r="A5" s="163" t="s">
        <v>369</v>
      </c>
      <c r="B5" s="141"/>
      <c r="C5" s="141"/>
    </row>
    <row r="6" spans="1:3" x14ac:dyDescent="0.35">
      <c r="A6" s="96" t="s">
        <v>8</v>
      </c>
      <c r="B6" s="141">
        <f>+[1]Stöðugleikaregla!B6</f>
        <v>101.6</v>
      </c>
      <c r="C6" s="141">
        <f>+[1]Stöðugleikaregla!C6</f>
        <v>125.38860000000001</v>
      </c>
    </row>
    <row r="7" spans="1:3" x14ac:dyDescent="0.35">
      <c r="A7" s="96" t="s">
        <v>370</v>
      </c>
      <c r="B7" s="141">
        <f>+[1]Stöðugleikaregla!B7</f>
        <v>79.0672</v>
      </c>
      <c r="C7" s="141">
        <f>+[1]Stöðugleikaregla!C7</f>
        <v>80.899600000000007</v>
      </c>
    </row>
    <row r="8" spans="1:3" x14ac:dyDescent="0.35">
      <c r="A8" s="96" t="s">
        <v>371</v>
      </c>
      <c r="B8" s="141">
        <f>+[1]Stöðugleikaregla!B8</f>
        <v>70.003</v>
      </c>
      <c r="C8" s="141">
        <f>+[1]Stöðugleikaregla!C8</f>
        <v>86.389499999999998</v>
      </c>
    </row>
    <row r="9" spans="1:3" x14ac:dyDescent="0.35">
      <c r="A9" s="96" t="s">
        <v>372</v>
      </c>
      <c r="B9" s="141">
        <f>+[1]Stöðugleikaregla!B9</f>
        <v>35.581499999999991</v>
      </c>
      <c r="C9" s="141">
        <f>+[1]Stöðugleikaregla!C9</f>
        <v>35.492700000000006</v>
      </c>
    </row>
    <row r="10" spans="1:3" x14ac:dyDescent="0.35">
      <c r="A10" s="96" t="s">
        <v>373</v>
      </c>
      <c r="B10" s="141">
        <f>+[1]Stöðugleikaregla!B10</f>
        <v>32.207000000000001</v>
      </c>
      <c r="C10" s="141">
        <f>+[1]Stöðugleikaregla!C10</f>
        <v>34.087000000000003</v>
      </c>
    </row>
    <row r="11" spans="1:3" x14ac:dyDescent="0.35">
      <c r="A11" s="96" t="s">
        <v>374</v>
      </c>
      <c r="B11" s="141">
        <f>+[1]Stöðugleikaregla!B11</f>
        <v>6.51</v>
      </c>
      <c r="C11" s="141">
        <f>+[1]Stöðugleikaregla!C11</f>
        <v>7.1881000000000004</v>
      </c>
    </row>
    <row r="12" spans="1:3" x14ac:dyDescent="0.35">
      <c r="A12" s="96" t="s">
        <v>375</v>
      </c>
      <c r="B12" s="141">
        <f>+[1]Stöðugleikaregla!B12</f>
        <v>0.11</v>
      </c>
      <c r="C12" s="141">
        <f>+[1]Stöðugleikaregla!C12</f>
        <v>0.11</v>
      </c>
    </row>
    <row r="13" spans="1:3" x14ac:dyDescent="0.35">
      <c r="A13" s="3" t="s">
        <v>376</v>
      </c>
      <c r="B13" s="118">
        <f>+[1]Stöðugleikaregla!$B$13</f>
        <v>1220.5608</v>
      </c>
      <c r="C13" s="118">
        <f>+[1]Stöðugleikaregla!$C$13</f>
        <v>1259.1091999999994</v>
      </c>
    </row>
    <row r="14" spans="1:3" x14ac:dyDescent="0.35">
      <c r="A14" s="96" t="s">
        <v>377</v>
      </c>
      <c r="B14" s="164"/>
      <c r="C14" s="165">
        <f>+[1]Stöðugleikaregla!$C$14</f>
        <v>3.1582531570733208E-2</v>
      </c>
    </row>
    <row r="15" spans="1:3" x14ac:dyDescent="0.35">
      <c r="A15" s="96" t="s">
        <v>378</v>
      </c>
      <c r="B15" s="141"/>
      <c r="C15" s="141">
        <f>+[1]Stöðugleikaregla!$C$15</f>
        <v>38.548399999999447</v>
      </c>
    </row>
    <row r="16" spans="1:3" x14ac:dyDescent="0.35">
      <c r="A16" s="96" t="s">
        <v>379</v>
      </c>
      <c r="B16" s="113"/>
      <c r="C16" s="141">
        <f>+[1]Stöðugleikaregla!$C$16</f>
        <v>14.621705426356584</v>
      </c>
    </row>
    <row r="17" spans="1:3" x14ac:dyDescent="0.35">
      <c r="A17" s="166" t="s">
        <v>380</v>
      </c>
      <c r="B17" s="113"/>
      <c r="C17" s="118">
        <f>+[1]Stöðugleikaregla!$C$17</f>
        <v>23.926694573642862</v>
      </c>
    </row>
    <row r="18" spans="1:3" x14ac:dyDescent="0.35">
      <c r="A18" s="3" t="s">
        <v>381</v>
      </c>
      <c r="B18" s="167"/>
      <c r="C18" s="130">
        <f>+[1]Stöðugleikaregla!$C$18</f>
        <v>1.960303376418681E-2</v>
      </c>
    </row>
    <row r="19" spans="1:3" ht="7" customHeight="1" x14ac:dyDescent="0.35">
      <c r="A19" s="101"/>
      <c r="B19" s="109"/>
      <c r="C19" s="10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275CF-7034-451A-93D9-529083A4FBCD}">
  <sheetPr codeName="Sheet4"/>
  <dimension ref="A1:G37"/>
  <sheetViews>
    <sheetView workbookViewId="0">
      <selection activeCell="O22" sqref="O22"/>
    </sheetView>
  </sheetViews>
  <sheetFormatPr defaultColWidth="8.81640625" defaultRowHeight="12" x14ac:dyDescent="0.3"/>
  <cols>
    <col min="1" max="1" width="38.81640625" style="4" customWidth="1"/>
    <col min="2" max="2" width="10.1796875" style="4" customWidth="1"/>
    <col min="3" max="3" width="9.1796875" style="4" customWidth="1"/>
    <col min="4" max="4" width="6.81640625" style="4" bestFit="1" customWidth="1"/>
    <col min="5" max="5" width="8.54296875" style="4" customWidth="1"/>
    <col min="6" max="6" width="9.453125" style="4" customWidth="1"/>
    <col min="7" max="7" width="6.1796875" style="4" customWidth="1"/>
    <col min="8" max="10" width="7.1796875" style="4" customWidth="1"/>
    <col min="11" max="16384" width="8.81640625" style="4"/>
  </cols>
  <sheetData>
    <row r="1" spans="1:7" s="26" customFormat="1" ht="13" x14ac:dyDescent="0.3">
      <c r="A1" s="99"/>
      <c r="B1" s="197" t="s">
        <v>0</v>
      </c>
      <c r="C1" s="197"/>
      <c r="D1" s="89"/>
      <c r="E1" s="197" t="s">
        <v>1</v>
      </c>
      <c r="F1" s="197"/>
      <c r="G1" s="99"/>
    </row>
    <row r="2" spans="1:7" ht="36" x14ac:dyDescent="0.3">
      <c r="A2" s="99" t="s">
        <v>2</v>
      </c>
      <c r="B2" s="100" t="s">
        <v>382</v>
      </c>
      <c r="C2" s="100" t="s">
        <v>367</v>
      </c>
      <c r="D2" s="100" t="s">
        <v>3</v>
      </c>
      <c r="E2" s="100" t="s">
        <v>382</v>
      </c>
      <c r="F2" s="100" t="s">
        <v>367</v>
      </c>
      <c r="G2" s="100" t="s">
        <v>3</v>
      </c>
    </row>
    <row r="3" spans="1:7" ht="4.4000000000000004" customHeight="1" x14ac:dyDescent="0.3">
      <c r="A3" s="101"/>
      <c r="B3" s="109"/>
      <c r="C3" s="109"/>
      <c r="D3" s="109"/>
      <c r="E3" s="109"/>
      <c r="F3" s="109"/>
      <c r="G3" s="109"/>
    </row>
    <row r="4" spans="1:7" x14ac:dyDescent="0.3">
      <c r="A4" s="93" t="s">
        <v>4</v>
      </c>
      <c r="B4" s="110">
        <v>1513.4</v>
      </c>
      <c r="C4" s="110">
        <v>1539.3370389420857</v>
      </c>
      <c r="D4" s="110">
        <v>25.937038942085564</v>
      </c>
      <c r="E4" s="110">
        <v>29.451211870469162</v>
      </c>
      <c r="F4" s="110">
        <v>29.417789813431632</v>
      </c>
      <c r="G4" s="110">
        <v>-3.3422057037530095E-2</v>
      </c>
    </row>
    <row r="5" spans="1:7" s="11" customFormat="1" x14ac:dyDescent="0.3">
      <c r="A5" s="93" t="s">
        <v>5</v>
      </c>
      <c r="B5" s="110">
        <v>1456.9999999999998</v>
      </c>
      <c r="C5" s="110">
        <v>1462.3234943999998</v>
      </c>
      <c r="D5" s="110">
        <v>5.3234944000000723</v>
      </c>
      <c r="E5" s="110">
        <v>28.353651179644217</v>
      </c>
      <c r="F5" s="110">
        <v>27.946007995147408</v>
      </c>
      <c r="G5" s="110">
        <v>-0.40764318449680914</v>
      </c>
    </row>
    <row r="6" spans="1:7" s="11" customFormat="1" x14ac:dyDescent="0.3">
      <c r="A6" s="3" t="s">
        <v>6</v>
      </c>
      <c r="B6" s="111">
        <v>56.400000000000318</v>
      </c>
      <c r="C6" s="111">
        <v>77.01354454208581</v>
      </c>
      <c r="D6" s="111">
        <v>20.613544542085492</v>
      </c>
      <c r="E6" s="111">
        <v>1.0975606908249453</v>
      </c>
      <c r="F6" s="111">
        <v>1.4717818182842244</v>
      </c>
      <c r="G6" s="111">
        <v>0.37422112745927905</v>
      </c>
    </row>
    <row r="7" spans="1:7" x14ac:dyDescent="0.3">
      <c r="A7" s="93" t="s">
        <v>7</v>
      </c>
      <c r="B7" s="110">
        <v>51.2</v>
      </c>
      <c r="C7" s="112">
        <v>51.909185613928379</v>
      </c>
      <c r="D7" s="110">
        <v>0.70918561392837631</v>
      </c>
      <c r="E7" s="110">
        <v>0.99636715195455339</v>
      </c>
      <c r="F7" s="110">
        <v>0.99202024842228631</v>
      </c>
      <c r="G7" s="110">
        <v>-4.3469035322670768E-3</v>
      </c>
    </row>
    <row r="8" spans="1:7" x14ac:dyDescent="0.3">
      <c r="A8" s="93" t="s">
        <v>8</v>
      </c>
      <c r="B8" s="110">
        <v>133.69999999999999</v>
      </c>
      <c r="C8" s="112">
        <v>144.25936636747679</v>
      </c>
      <c r="D8" s="110">
        <v>10.559366367476798</v>
      </c>
      <c r="E8" s="110">
        <v>2.6018415667250734</v>
      </c>
      <c r="F8" s="110">
        <v>2.7568957356693113</v>
      </c>
      <c r="G8" s="110">
        <v>0.15505416894423796</v>
      </c>
    </row>
    <row r="9" spans="1:7" x14ac:dyDescent="0.3">
      <c r="A9" s="3" t="s">
        <v>9</v>
      </c>
      <c r="B9" s="111">
        <v>-82.499999999999986</v>
      </c>
      <c r="C9" s="111">
        <v>-92.350180753548415</v>
      </c>
      <c r="D9" s="111">
        <v>-9.8501807535484218</v>
      </c>
      <c r="E9" s="111">
        <v>-1.60547441477052</v>
      </c>
      <c r="F9" s="111">
        <v>-1.7648754872470249</v>
      </c>
      <c r="G9" s="111">
        <v>-0.15940107247650503</v>
      </c>
    </row>
    <row r="10" spans="1:7" x14ac:dyDescent="0.3">
      <c r="A10" s="93" t="s">
        <v>10</v>
      </c>
      <c r="B10" s="110">
        <v>1564.6000000000001</v>
      </c>
      <c r="C10" s="112">
        <v>1591.2462245560141</v>
      </c>
      <c r="D10" s="110">
        <v>26.646224556013976</v>
      </c>
      <c r="E10" s="110">
        <v>30.447579022423714</v>
      </c>
      <c r="F10" s="110">
        <v>30.409810061853921</v>
      </c>
      <c r="G10" s="110">
        <v>-3.7768960569792398E-2</v>
      </c>
    </row>
    <row r="11" spans="1:7" x14ac:dyDescent="0.3">
      <c r="A11" s="93" t="s">
        <v>11</v>
      </c>
      <c r="B11" s="110">
        <v>1590.6999999999998</v>
      </c>
      <c r="C11" s="112">
        <v>1606.5828607674766</v>
      </c>
      <c r="D11" s="110">
        <v>15.882860767476814</v>
      </c>
      <c r="E11" s="110">
        <v>30.955492746369291</v>
      </c>
      <c r="F11" s="110">
        <v>30.702903730816722</v>
      </c>
      <c r="G11" s="110">
        <v>-0.25258901555256941</v>
      </c>
    </row>
    <row r="12" spans="1:7" x14ac:dyDescent="0.3">
      <c r="A12" s="3" t="s">
        <v>12</v>
      </c>
      <c r="B12" s="111">
        <v>-26.099999999999682</v>
      </c>
      <c r="C12" s="111">
        <v>-15.336636211462519</v>
      </c>
      <c r="D12" s="111">
        <v>10.763363788537163</v>
      </c>
      <c r="E12" s="111">
        <v>-0.50791372394557754</v>
      </c>
      <c r="F12" s="111">
        <v>-0.29309366896280054</v>
      </c>
      <c r="G12" s="111">
        <v>0.21482005498277701</v>
      </c>
    </row>
    <row r="13" spans="1:7" s="11" customFormat="1" ht="5.5" customHeight="1" x14ac:dyDescent="0.3">
      <c r="A13" s="101"/>
      <c r="B13" s="109"/>
      <c r="C13" s="109"/>
      <c r="D13" s="109"/>
      <c r="E13" s="109"/>
      <c r="F13" s="109"/>
      <c r="G13" s="109"/>
    </row>
    <row r="14" spans="1:7" s="11" customFormat="1" x14ac:dyDescent="0.3">
      <c r="A14" s="13"/>
      <c r="B14" s="13"/>
      <c r="C14" s="13"/>
    </row>
    <row r="15" spans="1:7" s="11" customFormat="1" x14ac:dyDescent="0.3">
      <c r="A15" s="13"/>
      <c r="B15" s="13"/>
      <c r="C15" s="13"/>
    </row>
    <row r="16" spans="1:7" x14ac:dyDescent="0.3">
      <c r="A16" s="15"/>
      <c r="B16" s="15"/>
      <c r="C16" s="15"/>
    </row>
    <row r="17" spans="1:3" x14ac:dyDescent="0.3">
      <c r="A17" s="15"/>
      <c r="B17" s="15"/>
      <c r="C17" s="15"/>
    </row>
    <row r="18" spans="1:3" x14ac:dyDescent="0.3">
      <c r="A18" s="15"/>
      <c r="B18" s="15"/>
      <c r="C18" s="15"/>
    </row>
    <row r="19" spans="1:3" x14ac:dyDescent="0.3">
      <c r="A19" s="15"/>
      <c r="B19" s="15"/>
      <c r="C19" s="15"/>
    </row>
    <row r="20" spans="1:3" x14ac:dyDescent="0.3">
      <c r="A20" s="15"/>
      <c r="B20" s="15"/>
      <c r="C20" s="15"/>
    </row>
    <row r="21" spans="1:3" s="11" customFormat="1" x14ac:dyDescent="0.3">
      <c r="A21" s="13"/>
      <c r="B21" s="13"/>
      <c r="C21" s="13"/>
    </row>
    <row r="22" spans="1:3" s="11" customFormat="1" x14ac:dyDescent="0.3">
      <c r="A22" s="13"/>
      <c r="B22" s="13"/>
      <c r="C22" s="13"/>
    </row>
    <row r="23" spans="1:3" x14ac:dyDescent="0.3">
      <c r="A23" s="15"/>
      <c r="B23" s="15"/>
      <c r="C23" s="15"/>
    </row>
    <row r="24" spans="1:3" x14ac:dyDescent="0.3">
      <c r="A24" s="15"/>
      <c r="B24" s="15"/>
      <c r="C24" s="15"/>
    </row>
    <row r="25" spans="1:3" x14ac:dyDescent="0.3">
      <c r="A25" s="15"/>
      <c r="B25" s="15"/>
      <c r="C25" s="15"/>
    </row>
    <row r="26" spans="1:3" x14ac:dyDescent="0.3">
      <c r="A26" s="15"/>
      <c r="B26" s="15"/>
      <c r="C26" s="15"/>
    </row>
    <row r="27" spans="1:3" x14ac:dyDescent="0.3">
      <c r="A27" s="15"/>
      <c r="B27" s="15"/>
      <c r="C27" s="15"/>
    </row>
    <row r="28" spans="1:3" x14ac:dyDescent="0.3">
      <c r="A28" s="15"/>
      <c r="B28" s="15"/>
      <c r="C28" s="15"/>
    </row>
    <row r="29" spans="1:3" x14ac:dyDescent="0.3">
      <c r="A29" s="15"/>
      <c r="B29" s="15"/>
      <c r="C29" s="15"/>
    </row>
    <row r="30" spans="1:3" x14ac:dyDescent="0.3">
      <c r="A30" s="15"/>
      <c r="B30" s="15"/>
      <c r="C30" s="15"/>
    </row>
    <row r="31" spans="1:3" s="11" customFormat="1" x14ac:dyDescent="0.3">
      <c r="A31" s="13"/>
      <c r="B31" s="13"/>
      <c r="C31" s="13"/>
    </row>
    <row r="32" spans="1:3" x14ac:dyDescent="0.3">
      <c r="A32" s="15"/>
      <c r="B32" s="15"/>
      <c r="C32" s="15"/>
    </row>
    <row r="33" spans="1:3" x14ac:dyDescent="0.3">
      <c r="A33" s="15"/>
      <c r="B33" s="15"/>
      <c r="C33" s="15"/>
    </row>
    <row r="34" spans="1:3" s="11" customFormat="1" ht="18" customHeight="1" x14ac:dyDescent="0.3">
      <c r="A34" s="13"/>
      <c r="B34" s="13"/>
      <c r="C34" s="13"/>
    </row>
    <row r="35" spans="1:3" s="11" customFormat="1" ht="12" customHeight="1" x14ac:dyDescent="0.3">
      <c r="A35" s="13"/>
      <c r="B35" s="13"/>
      <c r="C35" s="13"/>
    </row>
    <row r="36" spans="1:3" s="11" customFormat="1" ht="12" customHeight="1" x14ac:dyDescent="0.3">
      <c r="A36" s="13"/>
      <c r="B36" s="13"/>
      <c r="C36" s="13"/>
    </row>
    <row r="37" spans="1:3" s="11" customFormat="1" ht="3" customHeight="1" x14ac:dyDescent="0.3">
      <c r="A37" s="4"/>
      <c r="B37" s="4"/>
      <c r="C37" s="4"/>
    </row>
  </sheetData>
  <mergeCells count="2">
    <mergeCell ref="B1:C1"/>
    <mergeCell ref="E1:F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3624C-0615-4832-A1CC-F65354E295CD}">
  <sheetPr codeName="Sheet5"/>
  <dimension ref="A1:K23"/>
  <sheetViews>
    <sheetView topLeftCell="A2" workbookViewId="0">
      <selection activeCell="F4" sqref="F4"/>
    </sheetView>
  </sheetViews>
  <sheetFormatPr defaultColWidth="9.1796875" defaultRowHeight="13" x14ac:dyDescent="0.3"/>
  <cols>
    <col min="1" max="1" width="29.1796875" style="26" bestFit="1" customWidth="1"/>
    <col min="2" max="2" width="7.453125" style="34" bestFit="1" customWidth="1"/>
    <col min="3" max="3" width="8" style="34" bestFit="1" customWidth="1"/>
    <col min="4" max="4" width="6.81640625" style="34" bestFit="1" customWidth="1"/>
    <col min="5" max="5" width="6.453125" style="34" bestFit="1" customWidth="1"/>
    <col min="6" max="6" width="6.453125" style="34" customWidth="1"/>
    <col min="7" max="8" width="8.81640625" style="34" customWidth="1"/>
    <col min="9" max="16384" width="9.1796875" style="26"/>
  </cols>
  <sheetData>
    <row r="1" spans="1:11" ht="4.5" hidden="1" customHeight="1" x14ac:dyDescent="0.3">
      <c r="A1" s="17"/>
      <c r="B1" s="18"/>
      <c r="C1" s="18"/>
      <c r="D1" s="18"/>
      <c r="E1" s="18"/>
      <c r="F1" s="18"/>
      <c r="G1" s="18"/>
      <c r="H1" s="18"/>
    </row>
    <row r="2" spans="1:11" ht="12.75" customHeight="1" x14ac:dyDescent="0.3">
      <c r="A2" s="92"/>
      <c r="B2" s="113"/>
      <c r="C2" s="113"/>
      <c r="D2" s="113"/>
      <c r="E2" s="113"/>
      <c r="F2" s="113"/>
      <c r="G2" s="113"/>
    </row>
    <row r="3" spans="1:11" x14ac:dyDescent="0.3">
      <c r="A3" s="99"/>
      <c r="B3" s="197" t="s">
        <v>0</v>
      </c>
      <c r="C3" s="197"/>
      <c r="D3" s="89"/>
      <c r="E3" s="197" t="s">
        <v>1</v>
      </c>
      <c r="F3" s="197"/>
      <c r="G3" s="99"/>
      <c r="H3" s="33"/>
    </row>
    <row r="4" spans="1:11" ht="24" x14ac:dyDescent="0.3">
      <c r="A4" s="99" t="s">
        <v>2</v>
      </c>
      <c r="B4" s="100" t="s">
        <v>364</v>
      </c>
      <c r="C4" s="100" t="s">
        <v>383</v>
      </c>
      <c r="D4" s="100" t="s">
        <v>3</v>
      </c>
      <c r="E4" s="100" t="s">
        <v>364</v>
      </c>
      <c r="F4" s="100" t="s">
        <v>383</v>
      </c>
      <c r="G4" s="100" t="s">
        <v>3</v>
      </c>
      <c r="H4" s="35"/>
    </row>
    <row r="5" spans="1:11" s="27" customFormat="1" x14ac:dyDescent="0.3">
      <c r="A5" s="101"/>
      <c r="B5" s="109"/>
      <c r="C5" s="109"/>
      <c r="D5" s="109"/>
      <c r="E5" s="109"/>
      <c r="F5" s="109"/>
      <c r="G5" s="109"/>
      <c r="H5" s="34"/>
      <c r="J5" s="28"/>
    </row>
    <row r="6" spans="1:11" s="27" customFormat="1" x14ac:dyDescent="0.3">
      <c r="A6" s="93" t="s">
        <v>4</v>
      </c>
      <c r="B6" s="141">
        <v>1381.0216000000003</v>
      </c>
      <c r="C6" s="142">
        <v>1444.7454000000002</v>
      </c>
      <c r="D6" s="141">
        <v>63.723799999999983</v>
      </c>
      <c r="E6" s="141">
        <v>28.516588610351178</v>
      </c>
      <c r="F6" s="141">
        <v>29.165069875268589</v>
      </c>
      <c r="G6" s="141">
        <v>0.64848126491741098</v>
      </c>
      <c r="H6" s="34"/>
      <c r="I6" s="29"/>
      <c r="J6" s="30"/>
      <c r="K6" s="30"/>
    </row>
    <row r="7" spans="1:11" x14ac:dyDescent="0.3">
      <c r="A7" s="93" t="s">
        <v>5</v>
      </c>
      <c r="B7" s="141">
        <v>1363.0783089350005</v>
      </c>
      <c r="C7" s="142">
        <v>1386.8363089350003</v>
      </c>
      <c r="D7" s="141">
        <v>23.757999999999811</v>
      </c>
      <c r="E7" s="141">
        <v>28.146079235540249</v>
      </c>
      <c r="F7" s="141">
        <v>27.996059274975959</v>
      </c>
      <c r="G7" s="141">
        <v>-0.15001996056428979</v>
      </c>
      <c r="I7" s="31"/>
      <c r="J7" s="32"/>
      <c r="K7" s="30"/>
    </row>
    <row r="8" spans="1:11" x14ac:dyDescent="0.3">
      <c r="A8" s="3" t="s">
        <v>6</v>
      </c>
      <c r="B8" s="118">
        <v>17.943291064999812</v>
      </c>
      <c r="C8" s="118">
        <v>57.909091064999984</v>
      </c>
      <c r="D8" s="118">
        <v>39.965800000000172</v>
      </c>
      <c r="E8" s="118">
        <v>0.37050937481092916</v>
      </c>
      <c r="F8" s="118">
        <v>1.1690106002926299</v>
      </c>
      <c r="G8" s="118">
        <v>0.79850122548170077</v>
      </c>
    </row>
    <row r="9" spans="1:11" x14ac:dyDescent="0.3">
      <c r="A9" s="93" t="s">
        <v>7</v>
      </c>
      <c r="B9" s="141">
        <v>39.604300000000002</v>
      </c>
      <c r="C9" s="142">
        <v>55.454277251205951</v>
      </c>
      <c r="D9" s="141">
        <v>15.849977251205949</v>
      </c>
      <c r="E9" s="141">
        <v>0.8177855656283225</v>
      </c>
      <c r="F9" s="141">
        <v>1.1194552832034896</v>
      </c>
      <c r="G9" s="141">
        <v>0.30166971757516714</v>
      </c>
    </row>
    <row r="10" spans="1:11" x14ac:dyDescent="0.3">
      <c r="A10" s="93" t="s">
        <v>8</v>
      </c>
      <c r="B10" s="141">
        <v>120.14962837167408</v>
      </c>
      <c r="C10" s="142">
        <v>132.55659752584555</v>
      </c>
      <c r="D10" s="141">
        <v>12.406969154171463</v>
      </c>
      <c r="E10" s="141">
        <v>2.4809586786778768</v>
      </c>
      <c r="F10" s="141">
        <v>2.6759195282913795</v>
      </c>
      <c r="G10" s="141">
        <v>0.19496084961350268</v>
      </c>
    </row>
    <row r="11" spans="1:11" x14ac:dyDescent="0.3">
      <c r="A11" s="3" t="s">
        <v>9</v>
      </c>
      <c r="B11" s="118">
        <v>-80.545328371674088</v>
      </c>
      <c r="C11" s="118">
        <v>-77.102320274639595</v>
      </c>
      <c r="D11" s="118">
        <v>3.4430080970344861</v>
      </c>
      <c r="E11" s="118">
        <v>-1.6631731130495542</v>
      </c>
      <c r="F11" s="118">
        <v>-1.5564642450878898</v>
      </c>
      <c r="G11" s="118">
        <v>0.10670886796166446</v>
      </c>
    </row>
    <row r="12" spans="1:11" x14ac:dyDescent="0.3">
      <c r="A12" s="93" t="s">
        <v>10</v>
      </c>
      <c r="B12" s="141">
        <v>1420.6259000000002</v>
      </c>
      <c r="C12" s="142">
        <v>1500.1996772512061</v>
      </c>
      <c r="D12" s="141">
        <v>79.573777251205911</v>
      </c>
      <c r="E12" s="141">
        <v>29.334374175979498</v>
      </c>
      <c r="F12" s="141">
        <v>30.284525158472082</v>
      </c>
      <c r="G12" s="141">
        <v>0.95015098249258401</v>
      </c>
    </row>
    <row r="13" spans="1:11" x14ac:dyDescent="0.3">
      <c r="A13" s="93" t="s">
        <v>11</v>
      </c>
      <c r="B13" s="141">
        <v>1483.2279373066744</v>
      </c>
      <c r="C13" s="142">
        <v>1519.3929064608458</v>
      </c>
      <c r="D13" s="141">
        <v>36.164969154171331</v>
      </c>
      <c r="E13" s="141">
        <v>30.627037914218125</v>
      </c>
      <c r="F13" s="141">
        <v>30.67197880326734</v>
      </c>
      <c r="G13" s="141">
        <v>4.4940889049215116E-2</v>
      </c>
    </row>
    <row r="14" spans="1:11" x14ac:dyDescent="0.3">
      <c r="A14" s="3" t="s">
        <v>12</v>
      </c>
      <c r="B14" s="118">
        <v>-62.60203730667422</v>
      </c>
      <c r="C14" s="118">
        <v>-19.19322920963964</v>
      </c>
      <c r="D14" s="118">
        <v>43.40880809703458</v>
      </c>
      <c r="E14" s="118">
        <v>-1.2926637382386268</v>
      </c>
      <c r="F14" s="118">
        <v>-0.3874536447952579</v>
      </c>
      <c r="G14" s="118">
        <v>0.90521009344336889</v>
      </c>
    </row>
    <row r="15" spans="1:11" ht="6" customHeight="1" x14ac:dyDescent="0.3">
      <c r="A15" s="101"/>
      <c r="B15" s="109"/>
      <c r="C15" s="109"/>
      <c r="D15" s="109"/>
      <c r="E15" s="109"/>
      <c r="F15" s="109"/>
      <c r="G15" s="109"/>
    </row>
    <row r="22" ht="1.5" customHeight="1" x14ac:dyDescent="0.3"/>
    <row r="23" ht="23.25" customHeight="1" x14ac:dyDescent="0.3"/>
  </sheetData>
  <mergeCells count="2">
    <mergeCell ref="B3:C3"/>
    <mergeCell ref="E3:F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F04CF-E634-4EE9-8644-9FB9576C1AE3}">
  <sheetPr codeName="Sheet6"/>
  <dimension ref="A1:H23"/>
  <sheetViews>
    <sheetView topLeftCell="A2" workbookViewId="0">
      <selection activeCell="A2" sqref="A2:H23"/>
    </sheetView>
  </sheetViews>
  <sheetFormatPr defaultColWidth="9.1796875" defaultRowHeight="13" x14ac:dyDescent="0.3"/>
  <cols>
    <col min="1" max="1" width="43.1796875" style="46" customWidth="1"/>
    <col min="2" max="2" width="10.81640625" style="46" customWidth="1"/>
    <col min="3" max="3" width="10.1796875" style="46" bestFit="1" customWidth="1"/>
    <col min="4" max="4" width="10.453125" style="46" bestFit="1" customWidth="1"/>
    <col min="5" max="5" width="1.54296875" style="46" customWidth="1"/>
    <col min="6" max="16384" width="9.1796875" style="46"/>
  </cols>
  <sheetData>
    <row r="1" spans="1:8" hidden="1" x14ac:dyDescent="0.3">
      <c r="A1" s="4"/>
      <c r="B1" s="4"/>
    </row>
    <row r="2" spans="1:8" ht="18.649999999999999" customHeight="1" x14ac:dyDescent="0.3">
      <c r="A2" s="6"/>
      <c r="B2" s="199" t="s">
        <v>384</v>
      </c>
      <c r="C2" s="197" t="s">
        <v>38</v>
      </c>
      <c r="D2" s="197"/>
      <c r="E2" s="201"/>
      <c r="F2" s="197" t="s">
        <v>1</v>
      </c>
      <c r="G2" s="197"/>
      <c r="H2" s="197"/>
    </row>
    <row r="3" spans="1:8" ht="24" x14ac:dyDescent="0.3">
      <c r="A3" s="19" t="s">
        <v>39</v>
      </c>
      <c r="B3" s="200"/>
      <c r="C3" s="159" t="s">
        <v>385</v>
      </c>
      <c r="D3" s="159" t="s">
        <v>386</v>
      </c>
      <c r="E3" s="202"/>
      <c r="F3" s="91">
        <v>2024</v>
      </c>
      <c r="G3" s="159" t="s">
        <v>387</v>
      </c>
      <c r="H3" s="159" t="s">
        <v>386</v>
      </c>
    </row>
    <row r="4" spans="1:8" x14ac:dyDescent="0.3">
      <c r="A4" s="11"/>
      <c r="B4" s="167"/>
      <c r="C4" s="12"/>
      <c r="D4" s="12"/>
      <c r="E4" s="12"/>
      <c r="F4" s="167"/>
      <c r="G4" s="12"/>
      <c r="H4" s="12"/>
    </row>
    <row r="5" spans="1:8" x14ac:dyDescent="0.3">
      <c r="A5" s="10" t="s">
        <v>13</v>
      </c>
      <c r="B5" s="129">
        <v>1091828</v>
      </c>
      <c r="C5" s="129">
        <v>1167191.5000000002</v>
      </c>
      <c r="D5" s="129">
        <v>1236608.8389420859</v>
      </c>
      <c r="E5" s="20"/>
      <c r="F5" s="168">
        <v>23.743660292127824</v>
      </c>
      <c r="G5" s="21">
        <v>23.562090355379961</v>
      </c>
      <c r="H5" s="21">
        <v>23.632445647141136</v>
      </c>
    </row>
    <row r="6" spans="1:8" x14ac:dyDescent="0.3">
      <c r="A6" s="22" t="s">
        <v>14</v>
      </c>
      <c r="B6" s="128">
        <v>480720</v>
      </c>
      <c r="C6" s="128">
        <v>525100</v>
      </c>
      <c r="D6" s="128">
        <v>549500</v>
      </c>
      <c r="E6" s="23"/>
      <c r="F6" s="169">
        <v>10.454075528042592</v>
      </c>
      <c r="G6" s="24">
        <v>10.600191695715754</v>
      </c>
      <c r="H6" s="24">
        <v>10.501323032927333</v>
      </c>
    </row>
    <row r="7" spans="1:8" x14ac:dyDescent="0.3">
      <c r="A7" s="22" t="s">
        <v>40</v>
      </c>
      <c r="B7" s="128">
        <v>11891</v>
      </c>
      <c r="C7" s="128">
        <v>13030</v>
      </c>
      <c r="D7" s="128">
        <v>13926</v>
      </c>
      <c r="E7" s="23"/>
      <c r="F7" s="169">
        <v>0.25859005679804137</v>
      </c>
      <c r="G7" s="24">
        <v>0.26303656026504718</v>
      </c>
      <c r="H7" s="24">
        <v>0.26613544050326848</v>
      </c>
    </row>
    <row r="8" spans="1:8" x14ac:dyDescent="0.3">
      <c r="A8" s="22" t="s">
        <v>41</v>
      </c>
      <c r="B8" s="128">
        <v>15195</v>
      </c>
      <c r="C8" s="128">
        <v>15527</v>
      </c>
      <c r="D8" s="128">
        <v>14327</v>
      </c>
      <c r="E8" s="23"/>
      <c r="F8" s="169">
        <v>0.33044116668457146</v>
      </c>
      <c r="G8" s="24">
        <v>0.31344348973410496</v>
      </c>
      <c r="H8" s="24">
        <v>0.27379882637443115</v>
      </c>
    </row>
    <row r="9" spans="1:8" x14ac:dyDescent="0.3">
      <c r="A9" s="22" t="s">
        <v>42</v>
      </c>
      <c r="B9" s="128">
        <v>560924</v>
      </c>
      <c r="C9" s="128">
        <v>588214.6</v>
      </c>
      <c r="D9" s="128">
        <v>632186.63894208591</v>
      </c>
      <c r="E9" s="23"/>
      <c r="F9" s="169">
        <v>12.198248172515733</v>
      </c>
      <c r="G9" s="24">
        <v>11.874285885010025</v>
      </c>
      <c r="H9" s="24">
        <v>12.081521588046302</v>
      </c>
    </row>
    <row r="10" spans="1:8" x14ac:dyDescent="0.3">
      <c r="A10" s="22" t="s">
        <v>43</v>
      </c>
      <c r="B10" s="128">
        <v>6664</v>
      </c>
      <c r="C10" s="128">
        <v>7419.8</v>
      </c>
      <c r="D10" s="128">
        <v>7170.4</v>
      </c>
      <c r="E10" s="23"/>
      <c r="F10" s="169">
        <v>0.14492003519486568</v>
      </c>
      <c r="G10" s="24">
        <v>0.14978347427894068</v>
      </c>
      <c r="H10" s="24">
        <v>0.13703127693412584</v>
      </c>
    </row>
    <row r="11" spans="1:8" x14ac:dyDescent="0.3">
      <c r="A11" s="22" t="s">
        <v>19</v>
      </c>
      <c r="B11" s="128">
        <v>16434</v>
      </c>
      <c r="C11" s="128">
        <v>17900.099999999999</v>
      </c>
      <c r="D11" s="128">
        <v>19498.8</v>
      </c>
      <c r="E11" s="23"/>
      <c r="F11" s="169">
        <v>0.35738533289202024</v>
      </c>
      <c r="G11" s="24">
        <v>0.36134925037608373</v>
      </c>
      <c r="H11" s="24">
        <v>0.37263548235567512</v>
      </c>
    </row>
    <row r="12" spans="1:8" x14ac:dyDescent="0.3">
      <c r="A12" s="25" t="s">
        <v>20</v>
      </c>
      <c r="B12" s="129">
        <v>136982</v>
      </c>
      <c r="C12" s="129">
        <v>151726</v>
      </c>
      <c r="D12" s="129">
        <v>159923</v>
      </c>
      <c r="E12" s="20"/>
      <c r="F12" s="168">
        <v>2.9789070019602479</v>
      </c>
      <c r="G12" s="21">
        <v>3.0628921828683464</v>
      </c>
      <c r="H12" s="21">
        <v>3.056238550309077</v>
      </c>
    </row>
    <row r="13" spans="1:8" x14ac:dyDescent="0.3">
      <c r="A13" s="10" t="s">
        <v>21</v>
      </c>
      <c r="B13" s="129">
        <v>10384</v>
      </c>
      <c r="C13" s="129">
        <v>7679.2</v>
      </c>
      <c r="D13" s="129">
        <v>8085</v>
      </c>
      <c r="E13" s="20"/>
      <c r="F13" s="168">
        <v>0.22581777392909447</v>
      </c>
      <c r="G13" s="21">
        <v>0.15501998108882198</v>
      </c>
      <c r="H13" s="21">
        <v>0.15450991214052318</v>
      </c>
    </row>
    <row r="14" spans="1:8" x14ac:dyDescent="0.3">
      <c r="A14" s="10" t="s">
        <v>22</v>
      </c>
      <c r="B14" s="129">
        <v>154289.952865128</v>
      </c>
      <c r="C14" s="129">
        <v>173602.97725120594</v>
      </c>
      <c r="D14" s="129">
        <v>186629.3856139284</v>
      </c>
      <c r="E14" s="20"/>
      <c r="F14" s="168">
        <v>3.3553196757898731</v>
      </c>
      <c r="G14" s="21">
        <v>3.504522639134954</v>
      </c>
      <c r="H14" s="21">
        <v>3.5666159522631906</v>
      </c>
    </row>
    <row r="15" spans="1:8" x14ac:dyDescent="0.3">
      <c r="A15" s="22" t="s">
        <v>23</v>
      </c>
      <c r="B15" s="128">
        <v>91351</v>
      </c>
      <c r="C15" s="128">
        <v>122020.97725120596</v>
      </c>
      <c r="D15" s="128">
        <v>132977.58561392839</v>
      </c>
      <c r="E15" s="23"/>
      <c r="F15" s="169">
        <v>1.9866049002282968</v>
      </c>
      <c r="G15" s="24">
        <v>2.4632370020212422</v>
      </c>
      <c r="H15" s="24">
        <v>2.5412931440775477</v>
      </c>
    </row>
    <row r="16" spans="1:8" x14ac:dyDescent="0.3">
      <c r="A16" s="14" t="s">
        <v>7</v>
      </c>
      <c r="B16" s="128">
        <v>25956</v>
      </c>
      <c r="C16" s="128">
        <v>55454.277251205953</v>
      </c>
      <c r="D16" s="128">
        <v>51909.185613928377</v>
      </c>
      <c r="E16" s="128"/>
      <c r="F16" s="169">
        <v>0.5644574480068929</v>
      </c>
      <c r="G16" s="24">
        <v>1.1194552832034896</v>
      </c>
      <c r="H16" s="24">
        <v>0.99202024842228609</v>
      </c>
    </row>
    <row r="17" spans="1:8" ht="26.15" customHeight="1" x14ac:dyDescent="0.3">
      <c r="A17" s="14" t="s">
        <v>44</v>
      </c>
      <c r="B17" s="128">
        <v>53695</v>
      </c>
      <c r="C17" s="128">
        <v>53818</v>
      </c>
      <c r="D17" s="128">
        <v>56822</v>
      </c>
      <c r="E17" s="23"/>
      <c r="F17" s="169">
        <v>1.1676892691759173</v>
      </c>
      <c r="G17" s="24">
        <v>1.0864237605789953</v>
      </c>
      <c r="H17" s="24">
        <v>1.0859075111501308</v>
      </c>
    </row>
    <row r="18" spans="1:8" ht="24.65" customHeight="1" x14ac:dyDescent="0.3">
      <c r="A18" s="14" t="s">
        <v>45</v>
      </c>
      <c r="B18" s="128">
        <v>11700</v>
      </c>
      <c r="C18" s="128">
        <v>12748.7</v>
      </c>
      <c r="D18" s="128">
        <v>24246.399999999998</v>
      </c>
      <c r="E18" s="23"/>
      <c r="F18" s="169">
        <v>0.25443643634152591</v>
      </c>
      <c r="G18" s="24">
        <v>0.25735795823875723</v>
      </c>
      <c r="H18" s="24">
        <v>0.46336538450513065</v>
      </c>
    </row>
    <row r="19" spans="1:8" x14ac:dyDescent="0.3">
      <c r="A19" s="22" t="s">
        <v>26</v>
      </c>
      <c r="B19" s="128">
        <v>55506.919802627999</v>
      </c>
      <c r="C19" s="128">
        <v>44251.1</v>
      </c>
      <c r="D19" s="128">
        <v>45948.200000000004</v>
      </c>
      <c r="E19" s="23"/>
      <c r="F19" s="169">
        <v>1.2070925527244054</v>
      </c>
      <c r="G19" s="24">
        <v>0.89329678679544355</v>
      </c>
      <c r="H19" s="24">
        <v>0.87810171243230517</v>
      </c>
    </row>
    <row r="20" spans="1:8" x14ac:dyDescent="0.3">
      <c r="A20" s="22" t="s">
        <v>46</v>
      </c>
      <c r="B20" s="128">
        <v>7432.0330625000024</v>
      </c>
      <c r="C20" s="128">
        <v>7330.9000000000005</v>
      </c>
      <c r="D20" s="128">
        <v>7703.5999999999995</v>
      </c>
      <c r="E20" s="23"/>
      <c r="F20" s="169">
        <v>0.16162222283717076</v>
      </c>
      <c r="G20" s="24">
        <v>0.14798885031826819</v>
      </c>
      <c r="H20" s="24">
        <v>0.14722109575333758</v>
      </c>
    </row>
    <row r="21" spans="1:8" x14ac:dyDescent="0.3">
      <c r="A21" s="10" t="s">
        <v>47</v>
      </c>
      <c r="B21" s="129">
        <v>1393483.9528651279</v>
      </c>
      <c r="C21" s="129">
        <v>1500199.6772512062</v>
      </c>
      <c r="D21" s="129">
        <v>1591246.2245560142</v>
      </c>
      <c r="E21" s="20"/>
      <c r="F21" s="168">
        <v>30.303704743807035</v>
      </c>
      <c r="G21" s="21">
        <v>30.284525158472082</v>
      </c>
      <c r="H21" s="21">
        <v>30.409810061853925</v>
      </c>
    </row>
    <row r="22" spans="1:8" x14ac:dyDescent="0.3">
      <c r="A22" s="7"/>
      <c r="B22" s="8"/>
      <c r="C22" s="8"/>
      <c r="D22" s="8"/>
      <c r="E22" s="8"/>
      <c r="F22" s="8"/>
      <c r="G22" s="8"/>
      <c r="H22" s="8"/>
    </row>
    <row r="23" spans="1:8" ht="13" customHeight="1" x14ac:dyDescent="0.3">
      <c r="A23" s="198" t="s">
        <v>388</v>
      </c>
      <c r="B23" s="198"/>
      <c r="C23" s="198"/>
      <c r="D23" s="198"/>
      <c r="E23" s="198"/>
      <c r="F23" s="198"/>
      <c r="G23" s="198"/>
      <c r="H23" s="198"/>
    </row>
  </sheetData>
  <mergeCells count="5">
    <mergeCell ref="F2:H2"/>
    <mergeCell ref="A23:H23"/>
    <mergeCell ref="B2:B3"/>
    <mergeCell ref="C2:D2"/>
    <mergeCell ref="E2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33019-89B2-44FE-8B38-98D36CCE0991}">
  <sheetPr codeName="Sheet7"/>
  <dimension ref="A1:E19"/>
  <sheetViews>
    <sheetView topLeftCell="A2" workbookViewId="0">
      <selection activeCell="H20" sqref="H20"/>
    </sheetView>
  </sheetViews>
  <sheetFormatPr defaultColWidth="9.1796875" defaultRowHeight="13" x14ac:dyDescent="0.3"/>
  <cols>
    <col min="1" max="1" width="56.81640625" style="46" customWidth="1"/>
    <col min="2" max="2" width="12.453125" style="46" customWidth="1"/>
    <col min="3" max="3" width="12.81640625" style="46" customWidth="1"/>
    <col min="4" max="16384" width="9.1796875" style="46"/>
  </cols>
  <sheetData>
    <row r="1" spans="1:5" hidden="1" x14ac:dyDescent="0.3">
      <c r="A1" s="17"/>
      <c r="B1" s="17"/>
      <c r="C1" s="17"/>
    </row>
    <row r="2" spans="1:5" ht="13.5" x14ac:dyDescent="0.3">
      <c r="A2" s="19" t="s">
        <v>389</v>
      </c>
      <c r="B2" s="159">
        <v>2026</v>
      </c>
    </row>
    <row r="3" spans="1:5" x14ac:dyDescent="0.3">
      <c r="A3" s="4"/>
      <c r="B3" s="4"/>
    </row>
    <row r="4" spans="1:5" x14ac:dyDescent="0.3">
      <c r="A4" s="60" t="s">
        <v>132</v>
      </c>
      <c r="B4" s="61"/>
    </row>
    <row r="5" spans="1:5" x14ac:dyDescent="0.3">
      <c r="A5" s="62" t="s">
        <v>329</v>
      </c>
      <c r="B5" s="63">
        <v>7.6</v>
      </c>
      <c r="E5" s="47"/>
    </row>
    <row r="6" spans="1:5" x14ac:dyDescent="0.3">
      <c r="A6" s="64" t="s">
        <v>80</v>
      </c>
      <c r="B6" s="65">
        <f>+SUM(B5:B5)</f>
        <v>7.6</v>
      </c>
    </row>
    <row r="7" spans="1:5" ht="24" customHeight="1" x14ac:dyDescent="0.3">
      <c r="A7" s="60" t="s">
        <v>133</v>
      </c>
      <c r="B7" s="63"/>
    </row>
    <row r="8" spans="1:5" x14ac:dyDescent="0.3">
      <c r="A8" s="62" t="s">
        <v>328</v>
      </c>
      <c r="B8" s="61">
        <v>7.5</v>
      </c>
    </row>
    <row r="9" spans="1:5" x14ac:dyDescent="0.3">
      <c r="A9" s="62" t="s">
        <v>390</v>
      </c>
      <c r="B9" s="61">
        <v>4</v>
      </c>
    </row>
    <row r="10" spans="1:5" x14ac:dyDescent="0.3">
      <c r="A10" s="62" t="s">
        <v>391</v>
      </c>
      <c r="B10" s="61">
        <v>3.3</v>
      </c>
    </row>
    <row r="11" spans="1:5" x14ac:dyDescent="0.3">
      <c r="A11" s="62" t="s">
        <v>392</v>
      </c>
      <c r="B11" s="61">
        <v>1.6</v>
      </c>
    </row>
    <row r="12" spans="1:5" x14ac:dyDescent="0.3">
      <c r="A12" s="62" t="s">
        <v>393</v>
      </c>
      <c r="B12" s="61">
        <v>-0.4</v>
      </c>
    </row>
    <row r="13" spans="1:5" x14ac:dyDescent="0.3">
      <c r="A13" s="62" t="s">
        <v>394</v>
      </c>
      <c r="B13" s="61">
        <v>4.3</v>
      </c>
    </row>
    <row r="14" spans="1:5" x14ac:dyDescent="0.3">
      <c r="A14" s="64" t="s">
        <v>80</v>
      </c>
      <c r="B14" s="66">
        <f>+SUM(B8:B13)</f>
        <v>20.300000000000004</v>
      </c>
    </row>
    <row r="15" spans="1:5" x14ac:dyDescent="0.3">
      <c r="A15" s="64" t="s">
        <v>134</v>
      </c>
      <c r="B15" s="66">
        <f>+B6+B14</f>
        <v>27.900000000000006</v>
      </c>
    </row>
    <row r="16" spans="1:5" x14ac:dyDescent="0.3">
      <c r="A16" s="67"/>
      <c r="B16" s="67"/>
    </row>
    <row r="17" spans="1:2" ht="27.65" customHeight="1" x14ac:dyDescent="0.3">
      <c r="A17" s="203" t="s">
        <v>395</v>
      </c>
      <c r="B17" s="203"/>
    </row>
    <row r="18" spans="1:2" ht="51.75" customHeight="1" x14ac:dyDescent="0.3">
      <c r="A18" s="203" t="s">
        <v>396</v>
      </c>
      <c r="B18" s="203"/>
    </row>
    <row r="19" spans="1:2" ht="2.25" customHeight="1" x14ac:dyDescent="0.3"/>
  </sheetData>
  <mergeCells count="2">
    <mergeCell ref="A17:B17"/>
    <mergeCell ref="A18:B1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C2217-7D93-43D5-A9D7-B2FAADC613DB}">
  <sheetPr codeName="Sheet8"/>
  <dimension ref="A1:H41"/>
  <sheetViews>
    <sheetView topLeftCell="A2" workbookViewId="0">
      <selection activeCell="L35" sqref="L35"/>
    </sheetView>
  </sheetViews>
  <sheetFormatPr defaultColWidth="9.1796875" defaultRowHeight="13" x14ac:dyDescent="0.3"/>
  <cols>
    <col min="1" max="1" width="42.1796875" style="46" customWidth="1"/>
    <col min="2" max="2" width="14.81640625" style="46" customWidth="1"/>
    <col min="3" max="3" width="19.81640625" style="46" customWidth="1"/>
    <col min="4" max="4" width="9.54296875" style="46" bestFit="1" customWidth="1"/>
    <col min="5" max="16384" width="9.1796875" style="46"/>
  </cols>
  <sheetData>
    <row r="1" spans="1:8" hidden="1" x14ac:dyDescent="0.3">
      <c r="A1" s="56"/>
      <c r="B1" s="56"/>
      <c r="C1" s="56"/>
      <c r="D1" s="56"/>
    </row>
    <row r="2" spans="1:8" x14ac:dyDescent="0.3">
      <c r="A2" s="36" t="s">
        <v>48</v>
      </c>
      <c r="B2" s="143" t="s">
        <v>330</v>
      </c>
      <c r="C2" s="143" t="s">
        <v>469</v>
      </c>
    </row>
    <row r="3" spans="1:8" ht="5.5" customHeight="1" x14ac:dyDescent="0.3">
      <c r="A3" s="4"/>
      <c r="B3" s="4"/>
      <c r="C3" s="4"/>
    </row>
    <row r="4" spans="1:8" x14ac:dyDescent="0.3">
      <c r="A4" s="37" t="s">
        <v>49</v>
      </c>
      <c r="B4" s="37"/>
      <c r="C4" s="37"/>
      <c r="H4" s="58"/>
    </row>
    <row r="5" spans="1:8" x14ac:dyDescent="0.3">
      <c r="A5" s="38" t="s">
        <v>50</v>
      </c>
      <c r="B5" s="39">
        <v>5500</v>
      </c>
      <c r="C5" s="39">
        <v>0</v>
      </c>
      <c r="H5" s="59"/>
    </row>
    <row r="6" spans="1:8" x14ac:dyDescent="0.3">
      <c r="A6" s="38" t="s">
        <v>51</v>
      </c>
      <c r="B6" s="39">
        <v>18900</v>
      </c>
      <c r="C6" s="39">
        <v>15900</v>
      </c>
      <c r="H6" s="58"/>
    </row>
    <row r="7" spans="1:8" x14ac:dyDescent="0.3">
      <c r="A7" s="38" t="s">
        <v>52</v>
      </c>
      <c r="B7" s="39">
        <v>25000</v>
      </c>
      <c r="C7" s="39">
        <v>32600</v>
      </c>
    </row>
    <row r="8" spans="1:8" x14ac:dyDescent="0.3">
      <c r="A8" s="38" t="s">
        <v>53</v>
      </c>
      <c r="B8" s="39">
        <v>2300</v>
      </c>
      <c r="C8" s="39">
        <v>2900</v>
      </c>
    </row>
    <row r="9" spans="1:8" x14ac:dyDescent="0.3">
      <c r="A9" s="38" t="s">
        <v>54</v>
      </c>
      <c r="B9" s="39">
        <v>560</v>
      </c>
      <c r="C9" s="39">
        <v>3800</v>
      </c>
    </row>
    <row r="10" spans="1:8" x14ac:dyDescent="0.3">
      <c r="A10" s="10" t="s">
        <v>55</v>
      </c>
      <c r="B10" s="40">
        <v>52260</v>
      </c>
      <c r="C10" s="40">
        <v>55200</v>
      </c>
    </row>
    <row r="11" spans="1:8" ht="19.75" customHeight="1" x14ac:dyDescent="0.3">
      <c r="A11" s="37" t="s">
        <v>56</v>
      </c>
      <c r="B11" s="41"/>
      <c r="C11" s="41"/>
    </row>
    <row r="12" spans="1:8" x14ac:dyDescent="0.3">
      <c r="A12" s="38" t="s">
        <v>57</v>
      </c>
      <c r="B12" s="42">
        <v>750</v>
      </c>
      <c r="C12" s="42">
        <v>750</v>
      </c>
    </row>
    <row r="13" spans="1:8" x14ac:dyDescent="0.3">
      <c r="A13" s="38" t="s">
        <v>58</v>
      </c>
      <c r="B13" s="42">
        <v>808</v>
      </c>
      <c r="C13" s="42">
        <v>872</v>
      </c>
    </row>
    <row r="14" spans="1:8" x14ac:dyDescent="0.3">
      <c r="A14" s="10" t="s">
        <v>59</v>
      </c>
      <c r="B14" s="43">
        <v>1558</v>
      </c>
      <c r="C14" s="43">
        <v>1622</v>
      </c>
    </row>
    <row r="15" spans="1:8" x14ac:dyDescent="0.3">
      <c r="A15" s="10" t="s">
        <v>60</v>
      </c>
      <c r="B15" s="43">
        <v>53818</v>
      </c>
      <c r="C15" s="43">
        <v>56822</v>
      </c>
    </row>
    <row r="16" spans="1:8" ht="6.65" customHeight="1" x14ac:dyDescent="0.3">
      <c r="A16" s="44"/>
      <c r="B16" s="45"/>
      <c r="C16" s="45"/>
    </row>
    <row r="17" spans="1:3" ht="47.5" customHeight="1" x14ac:dyDescent="0.3">
      <c r="A17" s="204" t="s">
        <v>397</v>
      </c>
      <c r="B17" s="204"/>
      <c r="C17" s="204"/>
    </row>
    <row r="41" ht="2.25" customHeight="1" x14ac:dyDescent="0.3"/>
  </sheetData>
  <mergeCells count="1">
    <mergeCell ref="A17:C17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Töfluyfirlt</vt:lpstr>
      <vt:lpstr>2-1</vt:lpstr>
      <vt:lpstr>3-1</vt:lpstr>
      <vt:lpstr>3-2</vt:lpstr>
      <vt:lpstr>3-3</vt:lpstr>
      <vt:lpstr>3-4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6-1</vt:lpstr>
      <vt:lpstr>6-2</vt:lpstr>
      <vt:lpstr>6-3</vt:lpstr>
      <vt:lpstr>6-4</vt:lpstr>
      <vt:lpstr>6-5</vt:lpstr>
      <vt:lpstr>6-6</vt:lpstr>
      <vt:lpstr>7-1</vt:lpstr>
      <vt:lpstr>7-2</vt:lpstr>
      <vt:lpstr>8-1</vt:lpstr>
      <vt:lpstr>8-2</vt:lpstr>
      <vt:lpstr>9-1</vt:lpstr>
      <vt:lpstr>9-2</vt:lpstr>
      <vt:lpstr>9-3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Elmar Björnsson</dc:creator>
  <cp:lastModifiedBy>Hrefna Rós Matthíasdóttir</cp:lastModifiedBy>
  <dcterms:created xsi:type="dcterms:W3CDTF">2023-09-03T11:25:15Z</dcterms:created>
  <dcterms:modified xsi:type="dcterms:W3CDTF">2025-09-11T12:28:14Z</dcterms:modified>
</cp:coreProperties>
</file>